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19425" windowHeight="12225" tabRatio="939"/>
  </bookViews>
  <sheets>
    <sheet name="KOPĀ" sheetId="45" r:id="rId1"/>
    <sheet name="KOPS" sheetId="44" r:id="rId2"/>
    <sheet name="1.Kārta" sheetId="63" r:id="rId3"/>
    <sheet name="2.Kārta" sheetId="64" r:id="rId4"/>
    <sheet name="3.Kārta" sheetId="65" r:id="rId5"/>
    <sheet name="4.Kārta" sheetId="66" r:id="rId6"/>
    <sheet name="5.Kārta" sheetId="67" r:id="rId7"/>
    <sheet name="6.Kārta" sheetId="68" r:id="rId8"/>
    <sheet name="7.Kārta" sheetId="69" r:id="rId9"/>
    <sheet name="8.Kārta" sheetId="62" r:id="rId10"/>
    <sheet name="Sheet1" sheetId="46" state="hidden" r:id="rId11"/>
    <sheet name="Lapa1" sheetId="70" r:id="rId12"/>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9" i="62"/>
  <c r="U19" s="1"/>
  <c r="S19"/>
  <c r="Q19"/>
  <c r="X42" i="64"/>
  <c r="V52" s="1"/>
  <c r="V23" i="69"/>
  <c r="W18"/>
  <c r="V19"/>
  <c r="V20"/>
  <c r="V21"/>
  <c r="V18"/>
  <c r="T19"/>
  <c r="T20"/>
  <c r="T21"/>
  <c r="T18"/>
  <c r="S19"/>
  <c r="S20"/>
  <c r="S21"/>
  <c r="S18"/>
  <c r="Q19"/>
  <c r="Q20"/>
  <c r="Q21"/>
  <c r="Q18"/>
  <c r="V25" i="68"/>
  <c r="W20"/>
  <c r="W18"/>
  <c r="W16"/>
  <c r="V17"/>
  <c r="V18"/>
  <c r="V19"/>
  <c r="V20"/>
  <c r="V21"/>
  <c r="V22"/>
  <c r="V23"/>
  <c r="V16"/>
  <c r="T17"/>
  <c r="T18"/>
  <c r="T19"/>
  <c r="T20"/>
  <c r="T21"/>
  <c r="T22"/>
  <c r="T23"/>
  <c r="T16"/>
  <c r="S17"/>
  <c r="S18"/>
  <c r="S19"/>
  <c r="S20"/>
  <c r="S21"/>
  <c r="S22"/>
  <c r="S23"/>
  <c r="Q17"/>
  <c r="Q18"/>
  <c r="Q19"/>
  <c r="Q20"/>
  <c r="Q21"/>
  <c r="Q22"/>
  <c r="Q23"/>
  <c r="S16"/>
  <c r="Q16"/>
  <c r="V99" i="63"/>
  <c r="T99"/>
  <c r="S99"/>
  <c r="Q99"/>
  <c r="V27" i="67"/>
  <c r="X22"/>
  <c r="X20"/>
  <c r="X18"/>
  <c r="V19"/>
  <c r="V20"/>
  <c r="V21"/>
  <c r="V22"/>
  <c r="V23"/>
  <c r="V24"/>
  <c r="V25"/>
  <c r="V18"/>
  <c r="T19"/>
  <c r="T20"/>
  <c r="T21"/>
  <c r="T22"/>
  <c r="T23"/>
  <c r="T24"/>
  <c r="T25"/>
  <c r="T18"/>
  <c r="S19"/>
  <c r="S20"/>
  <c r="S21"/>
  <c r="S22"/>
  <c r="S23"/>
  <c r="S24"/>
  <c r="S25"/>
  <c r="S18"/>
  <c r="Q19"/>
  <c r="Q20"/>
  <c r="Q21"/>
  <c r="Q22"/>
  <c r="Q23"/>
  <c r="Q24"/>
  <c r="Q25"/>
  <c r="Q18"/>
  <c r="V42" i="66"/>
  <c r="X37"/>
  <c r="X35"/>
  <c r="X33"/>
  <c r="V34"/>
  <c r="V35"/>
  <c r="V36"/>
  <c r="V37"/>
  <c r="V38"/>
  <c r="V39"/>
  <c r="V40"/>
  <c r="V33"/>
  <c r="T34"/>
  <c r="T35"/>
  <c r="T36"/>
  <c r="T37"/>
  <c r="T38"/>
  <c r="T39"/>
  <c r="T40"/>
  <c r="T33"/>
  <c r="S34"/>
  <c r="S35"/>
  <c r="S36"/>
  <c r="S37"/>
  <c r="S38"/>
  <c r="S39"/>
  <c r="S40"/>
  <c r="S33"/>
  <c r="Q34"/>
  <c r="Q35"/>
  <c r="Q36"/>
  <c r="Q37"/>
  <c r="Q38"/>
  <c r="Q39"/>
  <c r="Q40"/>
  <c r="Q33"/>
  <c r="V379" i="65"/>
  <c r="X374"/>
  <c r="X372"/>
  <c r="X370"/>
  <c r="V371"/>
  <c r="V372"/>
  <c r="V373"/>
  <c r="V374"/>
  <c r="V375"/>
  <c r="V376"/>
  <c r="V377"/>
  <c r="V370"/>
  <c r="T371"/>
  <c r="T372"/>
  <c r="T373"/>
  <c r="T374"/>
  <c r="T375"/>
  <c r="T376"/>
  <c r="T377"/>
  <c r="T370"/>
  <c r="S371"/>
  <c r="S372"/>
  <c r="S373"/>
  <c r="S374"/>
  <c r="S375"/>
  <c r="S376"/>
  <c r="S377"/>
  <c r="S370"/>
  <c r="Q371"/>
  <c r="Q372"/>
  <c r="Q373"/>
  <c r="Q374"/>
  <c r="Q375"/>
  <c r="Q376"/>
  <c r="Q377"/>
  <c r="Q370"/>
  <c r="X46" i="64"/>
  <c r="X44"/>
  <c r="V43"/>
  <c r="V44"/>
  <c r="V45"/>
  <c r="V46"/>
  <c r="V47"/>
  <c r="V48"/>
  <c r="V49"/>
  <c r="V42"/>
  <c r="T43"/>
  <c r="T44"/>
  <c r="T45"/>
  <c r="T46"/>
  <c r="T47"/>
  <c r="T48"/>
  <c r="T49"/>
  <c r="T42"/>
  <c r="S43"/>
  <c r="S44"/>
  <c r="S45"/>
  <c r="S46"/>
  <c r="S47"/>
  <c r="S48"/>
  <c r="S49"/>
  <c r="S42"/>
  <c r="Q43"/>
  <c r="Q44"/>
  <c r="Q45"/>
  <c r="Q46"/>
  <c r="Q47"/>
  <c r="Q48"/>
  <c r="Q49"/>
  <c r="Q42"/>
  <c r="O12" i="63"/>
  <c r="Q104"/>
  <c r="T92"/>
  <c r="T93"/>
  <c r="T94"/>
  <c r="T95"/>
  <c r="T96"/>
  <c r="T97"/>
  <c r="T98"/>
  <c r="T91"/>
  <c r="H14" i="68"/>
  <c r="M14"/>
  <c r="G14"/>
  <c r="H14" i="69"/>
  <c r="M14"/>
  <c r="N14" i="62"/>
  <c r="M14"/>
  <c r="L14"/>
  <c r="K14"/>
  <c r="J14"/>
  <c r="N14" i="68"/>
  <c r="L14"/>
  <c r="K14"/>
  <c r="J14"/>
  <c r="N14" i="67"/>
  <c r="M14"/>
  <c r="L14"/>
  <c r="K14"/>
  <c r="J14"/>
  <c r="N14" i="69"/>
  <c r="L14"/>
  <c r="K14"/>
  <c r="J14"/>
  <c r="O14" i="62"/>
  <c r="O14" i="68"/>
  <c r="O14" i="67"/>
  <c r="O14" i="69"/>
  <c r="O21"/>
  <c r="L8"/>
  <c r="G15" i="66"/>
  <c r="H15"/>
  <c r="I15"/>
  <c r="J15"/>
  <c r="K15"/>
  <c r="L15"/>
  <c r="M15"/>
  <c r="N15"/>
  <c r="O15"/>
  <c r="D14" i="44"/>
  <c r="D13"/>
  <c r="N20" i="69"/>
  <c r="M20"/>
  <c r="L20"/>
  <c r="O20"/>
  <c r="K20"/>
  <c r="J20"/>
  <c r="N19"/>
  <c r="M19"/>
  <c r="L19"/>
  <c r="O19"/>
  <c r="K19"/>
  <c r="J19"/>
  <c r="N18"/>
  <c r="M18"/>
  <c r="L18"/>
  <c r="O18"/>
  <c r="K18"/>
  <c r="J18"/>
  <c r="K16"/>
  <c r="I16"/>
  <c r="N16"/>
  <c r="H16"/>
  <c r="M16"/>
  <c r="G16"/>
  <c r="J16"/>
  <c r="K13"/>
  <c r="K21"/>
  <c r="I13"/>
  <c r="N13"/>
  <c r="N21"/>
  <c r="H13"/>
  <c r="M13"/>
  <c r="M21"/>
  <c r="G13"/>
  <c r="J13"/>
  <c r="N22" i="68"/>
  <c r="M22"/>
  <c r="L22"/>
  <c r="O22"/>
  <c r="K22"/>
  <c r="J22"/>
  <c r="O21"/>
  <c r="N21"/>
  <c r="M21"/>
  <c r="L21"/>
  <c r="K21"/>
  <c r="J21"/>
  <c r="N20"/>
  <c r="M20"/>
  <c r="L20"/>
  <c r="O20"/>
  <c r="K20"/>
  <c r="J20"/>
  <c r="O19"/>
  <c r="N19"/>
  <c r="M19"/>
  <c r="L19"/>
  <c r="K19"/>
  <c r="J19"/>
  <c r="N18"/>
  <c r="M18"/>
  <c r="L18"/>
  <c r="O18"/>
  <c r="K18"/>
  <c r="J18"/>
  <c r="O17"/>
  <c r="N17"/>
  <c r="M17"/>
  <c r="L17"/>
  <c r="K17"/>
  <c r="J17"/>
  <c r="N16"/>
  <c r="M16"/>
  <c r="L16"/>
  <c r="O16"/>
  <c r="K16"/>
  <c r="J16"/>
  <c r="K13"/>
  <c r="K23"/>
  <c r="I13"/>
  <c r="N13"/>
  <c r="N23"/>
  <c r="H13"/>
  <c r="M13"/>
  <c r="M23"/>
  <c r="G13"/>
  <c r="J13"/>
  <c r="N24" i="67"/>
  <c r="M24"/>
  <c r="L24"/>
  <c r="O24"/>
  <c r="K24"/>
  <c r="J24"/>
  <c r="O23"/>
  <c r="N23"/>
  <c r="M23"/>
  <c r="L23"/>
  <c r="K23"/>
  <c r="J23"/>
  <c r="N22"/>
  <c r="M22"/>
  <c r="L22"/>
  <c r="O22"/>
  <c r="K22"/>
  <c r="J22"/>
  <c r="O21"/>
  <c r="N21"/>
  <c r="M21"/>
  <c r="L21"/>
  <c r="K21"/>
  <c r="J21"/>
  <c r="N20"/>
  <c r="M20"/>
  <c r="L20"/>
  <c r="O20"/>
  <c r="K20"/>
  <c r="J20"/>
  <c r="O19"/>
  <c r="N19"/>
  <c r="M19"/>
  <c r="L19"/>
  <c r="K19"/>
  <c r="J19"/>
  <c r="N18"/>
  <c r="M18"/>
  <c r="L18"/>
  <c r="O18"/>
  <c r="K18"/>
  <c r="J18"/>
  <c r="O16"/>
  <c r="N16"/>
  <c r="M16"/>
  <c r="L16"/>
  <c r="K16"/>
  <c r="J16"/>
  <c r="M13"/>
  <c r="M25"/>
  <c r="K13"/>
  <c r="K25"/>
  <c r="I13"/>
  <c r="N13"/>
  <c r="N25"/>
  <c r="H13"/>
  <c r="J13"/>
  <c r="G13"/>
  <c r="L13"/>
  <c r="N39" i="66"/>
  <c r="M39"/>
  <c r="L39"/>
  <c r="O39"/>
  <c r="K39"/>
  <c r="J39"/>
  <c r="O38"/>
  <c r="N38"/>
  <c r="M38"/>
  <c r="L38"/>
  <c r="K38"/>
  <c r="J38"/>
  <c r="N37"/>
  <c r="M37"/>
  <c r="L37"/>
  <c r="O37"/>
  <c r="K37"/>
  <c r="J37"/>
  <c r="O36"/>
  <c r="N36"/>
  <c r="M36"/>
  <c r="L36"/>
  <c r="K36"/>
  <c r="J36"/>
  <c r="N35"/>
  <c r="M35"/>
  <c r="L35"/>
  <c r="O35"/>
  <c r="K35"/>
  <c r="J35"/>
  <c r="O34"/>
  <c r="N34"/>
  <c r="M34"/>
  <c r="L34"/>
  <c r="K34"/>
  <c r="J34"/>
  <c r="N33"/>
  <c r="M33"/>
  <c r="L33"/>
  <c r="O33"/>
  <c r="K33"/>
  <c r="J33"/>
  <c r="N31"/>
  <c r="K31"/>
  <c r="J31"/>
  <c r="G31"/>
  <c r="D31"/>
  <c r="M31"/>
  <c r="N30"/>
  <c r="K30"/>
  <c r="J30"/>
  <c r="G30"/>
  <c r="D30"/>
  <c r="M30"/>
  <c r="N29"/>
  <c r="M29"/>
  <c r="K29"/>
  <c r="J29"/>
  <c r="G29"/>
  <c r="D29"/>
  <c r="L29"/>
  <c r="O29"/>
  <c r="N28"/>
  <c r="M28"/>
  <c r="K28"/>
  <c r="J28"/>
  <c r="G28"/>
  <c r="D28"/>
  <c r="L28"/>
  <c r="O28"/>
  <c r="N27"/>
  <c r="M27"/>
  <c r="K27"/>
  <c r="J27"/>
  <c r="G27"/>
  <c r="D27"/>
  <c r="L27"/>
  <c r="O27"/>
  <c r="N26"/>
  <c r="M26"/>
  <c r="K26"/>
  <c r="J26"/>
  <c r="G26"/>
  <c r="D26"/>
  <c r="L26"/>
  <c r="O26"/>
  <c r="N25"/>
  <c r="M25"/>
  <c r="K25"/>
  <c r="J25"/>
  <c r="G25"/>
  <c r="D25"/>
  <c r="L25"/>
  <c r="O25"/>
  <c r="O23"/>
  <c r="N23"/>
  <c r="M23"/>
  <c r="L23"/>
  <c r="K23"/>
  <c r="J23"/>
  <c r="N21"/>
  <c r="M21"/>
  <c r="K21"/>
  <c r="G21"/>
  <c r="L21"/>
  <c r="O21"/>
  <c r="N20"/>
  <c r="M20"/>
  <c r="L20"/>
  <c r="O20"/>
  <c r="K20"/>
  <c r="G20"/>
  <c r="J20"/>
  <c r="O18"/>
  <c r="N18"/>
  <c r="M18"/>
  <c r="L18"/>
  <c r="K18"/>
  <c r="J18"/>
  <c r="M16"/>
  <c r="L16"/>
  <c r="K16"/>
  <c r="N16"/>
  <c r="J16"/>
  <c r="N13"/>
  <c r="M13"/>
  <c r="K13"/>
  <c r="K40"/>
  <c r="J13"/>
  <c r="I13"/>
  <c r="H13"/>
  <c r="G13"/>
  <c r="L13"/>
  <c r="N376" i="65"/>
  <c r="M376"/>
  <c r="L376"/>
  <c r="O376"/>
  <c r="K376"/>
  <c r="J376"/>
  <c r="O375"/>
  <c r="N375"/>
  <c r="M375"/>
  <c r="L375"/>
  <c r="K375"/>
  <c r="J375"/>
  <c r="N374"/>
  <c r="M374"/>
  <c r="L374"/>
  <c r="O374"/>
  <c r="K374"/>
  <c r="J374"/>
  <c r="O373"/>
  <c r="N373"/>
  <c r="M373"/>
  <c r="L373"/>
  <c r="K373"/>
  <c r="J373"/>
  <c r="N372"/>
  <c r="M372"/>
  <c r="L372"/>
  <c r="O372"/>
  <c r="K372"/>
  <c r="J372"/>
  <c r="O371"/>
  <c r="N371"/>
  <c r="M371"/>
  <c r="L371"/>
  <c r="K371"/>
  <c r="J371"/>
  <c r="N370"/>
  <c r="M370"/>
  <c r="L370"/>
  <c r="K370"/>
  <c r="J370"/>
  <c r="K368"/>
  <c r="G368"/>
  <c r="J368"/>
  <c r="D368"/>
  <c r="N368"/>
  <c r="M367"/>
  <c r="K367"/>
  <c r="G367"/>
  <c r="J367"/>
  <c r="D367"/>
  <c r="N367"/>
  <c r="M366"/>
  <c r="K366"/>
  <c r="G366"/>
  <c r="J366"/>
  <c r="D366"/>
  <c r="N366"/>
  <c r="M365"/>
  <c r="K365"/>
  <c r="G365"/>
  <c r="J365"/>
  <c r="D365"/>
  <c r="N365"/>
  <c r="M364"/>
  <c r="K364"/>
  <c r="G364"/>
  <c r="J364"/>
  <c r="D364"/>
  <c r="N364"/>
  <c r="M363"/>
  <c r="K363"/>
  <c r="G363"/>
  <c r="J363"/>
  <c r="D363"/>
  <c r="N363"/>
  <c r="N362"/>
  <c r="M362"/>
  <c r="K362"/>
  <c r="G362"/>
  <c r="J362"/>
  <c r="D362"/>
  <c r="L362"/>
  <c r="O362"/>
  <c r="O360"/>
  <c r="N360"/>
  <c r="M360"/>
  <c r="L360"/>
  <c r="J360"/>
  <c r="N358"/>
  <c r="M358"/>
  <c r="L358"/>
  <c r="O358"/>
  <c r="K358"/>
  <c r="J358"/>
  <c r="G358"/>
  <c r="N357"/>
  <c r="M357"/>
  <c r="K357"/>
  <c r="G357"/>
  <c r="J357"/>
  <c r="N356"/>
  <c r="M356"/>
  <c r="L356"/>
  <c r="K356"/>
  <c r="J356"/>
  <c r="N354"/>
  <c r="M354"/>
  <c r="L354"/>
  <c r="O354"/>
  <c r="J354"/>
  <c r="N352"/>
  <c r="M352"/>
  <c r="K352"/>
  <c r="G352"/>
  <c r="N351"/>
  <c r="M351"/>
  <c r="L351"/>
  <c r="O351"/>
  <c r="K351"/>
  <c r="J351"/>
  <c r="G351"/>
  <c r="N350"/>
  <c r="M350"/>
  <c r="K350"/>
  <c r="G350"/>
  <c r="J350"/>
  <c r="N349"/>
  <c r="M349"/>
  <c r="L349"/>
  <c r="K349"/>
  <c r="J349"/>
  <c r="G349"/>
  <c r="N348"/>
  <c r="M348"/>
  <c r="K348"/>
  <c r="G348"/>
  <c r="N347"/>
  <c r="M347"/>
  <c r="L347"/>
  <c r="O347"/>
  <c r="K347"/>
  <c r="J347"/>
  <c r="G347"/>
  <c r="N346"/>
  <c r="M346"/>
  <c r="K346"/>
  <c r="G346"/>
  <c r="J346"/>
  <c r="N345"/>
  <c r="M345"/>
  <c r="L345"/>
  <c r="K345"/>
  <c r="J345"/>
  <c r="G345"/>
  <c r="N344"/>
  <c r="M344"/>
  <c r="K344"/>
  <c r="G344"/>
  <c r="N343"/>
  <c r="M343"/>
  <c r="K343"/>
  <c r="G343"/>
  <c r="J343"/>
  <c r="N342"/>
  <c r="M342"/>
  <c r="L342"/>
  <c r="O342"/>
  <c r="K342"/>
  <c r="J342"/>
  <c r="G342"/>
  <c r="N341"/>
  <c r="M341"/>
  <c r="K341"/>
  <c r="G341"/>
  <c r="N339"/>
  <c r="M339"/>
  <c r="L339"/>
  <c r="O339"/>
  <c r="K339"/>
  <c r="J339"/>
  <c r="G339"/>
  <c r="N338"/>
  <c r="M338"/>
  <c r="K338"/>
  <c r="G338"/>
  <c r="J338"/>
  <c r="N337"/>
  <c r="M337"/>
  <c r="L337"/>
  <c r="K337"/>
  <c r="J337"/>
  <c r="G337"/>
  <c r="N336"/>
  <c r="M336"/>
  <c r="K336"/>
  <c r="G336"/>
  <c r="N335"/>
  <c r="M335"/>
  <c r="L335"/>
  <c r="O335"/>
  <c r="K335"/>
  <c r="J335"/>
  <c r="G335"/>
  <c r="N334"/>
  <c r="M334"/>
  <c r="K334"/>
  <c r="G334"/>
  <c r="J334"/>
  <c r="N333"/>
  <c r="M333"/>
  <c r="L333"/>
  <c r="K333"/>
  <c r="J333"/>
  <c r="G333"/>
  <c r="N332"/>
  <c r="M332"/>
  <c r="K332"/>
  <c r="G332"/>
  <c r="N331"/>
  <c r="M331"/>
  <c r="L331"/>
  <c r="O331"/>
  <c r="K331"/>
  <c r="J331"/>
  <c r="G331"/>
  <c r="N330"/>
  <c r="M330"/>
  <c r="K330"/>
  <c r="G330"/>
  <c r="J330"/>
  <c r="N329"/>
  <c r="M329"/>
  <c r="L329"/>
  <c r="O329"/>
  <c r="K329"/>
  <c r="J329"/>
  <c r="G329"/>
  <c r="N328"/>
  <c r="M328"/>
  <c r="K328"/>
  <c r="G328"/>
  <c r="N327"/>
  <c r="M327"/>
  <c r="L327"/>
  <c r="O327"/>
  <c r="K327"/>
  <c r="J327"/>
  <c r="G327"/>
  <c r="N326"/>
  <c r="M326"/>
  <c r="K326"/>
  <c r="G326"/>
  <c r="J326"/>
  <c r="N325"/>
  <c r="M325"/>
  <c r="L325"/>
  <c r="O325"/>
  <c r="K325"/>
  <c r="J325"/>
  <c r="G325"/>
  <c r="N324"/>
  <c r="M324"/>
  <c r="K324"/>
  <c r="G324"/>
  <c r="N323"/>
  <c r="M323"/>
  <c r="L323"/>
  <c r="O323"/>
  <c r="K323"/>
  <c r="J323"/>
  <c r="G323"/>
  <c r="N322"/>
  <c r="M322"/>
  <c r="K322"/>
  <c r="G322"/>
  <c r="N321"/>
  <c r="M321"/>
  <c r="L321"/>
  <c r="K321"/>
  <c r="J321"/>
  <c r="G321"/>
  <c r="N320"/>
  <c r="M320"/>
  <c r="K320"/>
  <c r="G320"/>
  <c r="N318"/>
  <c r="M318"/>
  <c r="L318"/>
  <c r="K318"/>
  <c r="J318"/>
  <c r="G318"/>
  <c r="N317"/>
  <c r="M317"/>
  <c r="K317"/>
  <c r="G317"/>
  <c r="N316"/>
  <c r="M316"/>
  <c r="L316"/>
  <c r="O316"/>
  <c r="K316"/>
  <c r="J316"/>
  <c r="G316"/>
  <c r="N315"/>
  <c r="M315"/>
  <c r="K315"/>
  <c r="G315"/>
  <c r="N314"/>
  <c r="M314"/>
  <c r="L314"/>
  <c r="O314"/>
  <c r="K314"/>
  <c r="J314"/>
  <c r="G314"/>
  <c r="N313"/>
  <c r="M313"/>
  <c r="K313"/>
  <c r="G313"/>
  <c r="N312"/>
  <c r="M312"/>
  <c r="L312"/>
  <c r="K312"/>
  <c r="J312"/>
  <c r="G312"/>
  <c r="N311"/>
  <c r="M311"/>
  <c r="K311"/>
  <c r="G311"/>
  <c r="N310"/>
  <c r="M310"/>
  <c r="L310"/>
  <c r="K310"/>
  <c r="J310"/>
  <c r="G310"/>
  <c r="N308"/>
  <c r="M308"/>
  <c r="K308"/>
  <c r="G308"/>
  <c r="N307"/>
  <c r="M307"/>
  <c r="L307"/>
  <c r="O307"/>
  <c r="K307"/>
  <c r="J307"/>
  <c r="G307"/>
  <c r="N306"/>
  <c r="M306"/>
  <c r="K306"/>
  <c r="G306"/>
  <c r="N305"/>
  <c r="M305"/>
  <c r="L305"/>
  <c r="O305"/>
  <c r="K305"/>
  <c r="J305"/>
  <c r="G305"/>
  <c r="N304"/>
  <c r="M304"/>
  <c r="K304"/>
  <c r="G304"/>
  <c r="N303"/>
  <c r="M303"/>
  <c r="L303"/>
  <c r="K303"/>
  <c r="J303"/>
  <c r="G303"/>
  <c r="N302"/>
  <c r="M302"/>
  <c r="K302"/>
  <c r="G302"/>
  <c r="N301"/>
  <c r="M301"/>
  <c r="L301"/>
  <c r="K301"/>
  <c r="J301"/>
  <c r="G301"/>
  <c r="N300"/>
  <c r="M300"/>
  <c r="K300"/>
  <c r="G300"/>
  <c r="N299"/>
  <c r="M299"/>
  <c r="L299"/>
  <c r="O299"/>
  <c r="K299"/>
  <c r="J299"/>
  <c r="G299"/>
  <c r="N298"/>
  <c r="M298"/>
  <c r="K298"/>
  <c r="G298"/>
  <c r="N297"/>
  <c r="M297"/>
  <c r="L297"/>
  <c r="O297"/>
  <c r="K297"/>
  <c r="J297"/>
  <c r="G297"/>
  <c r="N296"/>
  <c r="M296"/>
  <c r="K296"/>
  <c r="G296"/>
  <c r="N295"/>
  <c r="M295"/>
  <c r="L295"/>
  <c r="K295"/>
  <c r="J295"/>
  <c r="G295"/>
  <c r="N294"/>
  <c r="M294"/>
  <c r="K294"/>
  <c r="G294"/>
  <c r="N293"/>
  <c r="M293"/>
  <c r="L293"/>
  <c r="K293"/>
  <c r="J293"/>
  <c r="G293"/>
  <c r="N292"/>
  <c r="M292"/>
  <c r="K292"/>
  <c r="G292"/>
  <c r="N291"/>
  <c r="M291"/>
  <c r="L291"/>
  <c r="O291"/>
  <c r="K291"/>
  <c r="J291"/>
  <c r="G291"/>
  <c r="N290"/>
  <c r="M290"/>
  <c r="K290"/>
  <c r="G290"/>
  <c r="N289"/>
  <c r="M289"/>
  <c r="L289"/>
  <c r="O289"/>
  <c r="K289"/>
  <c r="J289"/>
  <c r="G289"/>
  <c r="N288"/>
  <c r="M288"/>
  <c r="K288"/>
  <c r="G288"/>
  <c r="N287"/>
  <c r="M287"/>
  <c r="L287"/>
  <c r="K287"/>
  <c r="J287"/>
  <c r="G287"/>
  <c r="N286"/>
  <c r="M286"/>
  <c r="K286"/>
  <c r="G286"/>
  <c r="N285"/>
  <c r="M285"/>
  <c r="L285"/>
  <c r="K285"/>
  <c r="J285"/>
  <c r="G285"/>
  <c r="N284"/>
  <c r="M284"/>
  <c r="K284"/>
  <c r="G284"/>
  <c r="N283"/>
  <c r="M283"/>
  <c r="L283"/>
  <c r="O283"/>
  <c r="K283"/>
  <c r="J283"/>
  <c r="G283"/>
  <c r="N282"/>
  <c r="M282"/>
  <c r="K282"/>
  <c r="G282"/>
  <c r="N281"/>
  <c r="M281"/>
  <c r="L281"/>
  <c r="O281"/>
  <c r="K281"/>
  <c r="J281"/>
  <c r="G281"/>
  <c r="N280"/>
  <c r="M280"/>
  <c r="K280"/>
  <c r="G280"/>
  <c r="N279"/>
  <c r="M279"/>
  <c r="L279"/>
  <c r="K279"/>
  <c r="J279"/>
  <c r="G279"/>
  <c r="N278"/>
  <c r="M278"/>
  <c r="K278"/>
  <c r="G278"/>
  <c r="N277"/>
  <c r="M277"/>
  <c r="L277"/>
  <c r="K277"/>
  <c r="J277"/>
  <c r="G277"/>
  <c r="N276"/>
  <c r="M276"/>
  <c r="K276"/>
  <c r="G276"/>
  <c r="N275"/>
  <c r="M275"/>
  <c r="L275"/>
  <c r="O275"/>
  <c r="K275"/>
  <c r="J275"/>
  <c r="G275"/>
  <c r="N274"/>
  <c r="M274"/>
  <c r="K274"/>
  <c r="G274"/>
  <c r="N273"/>
  <c r="M273"/>
  <c r="L273"/>
  <c r="O273"/>
  <c r="K273"/>
  <c r="J273"/>
  <c r="G273"/>
  <c r="N270"/>
  <c r="M270"/>
  <c r="K270"/>
  <c r="G270"/>
  <c r="N269"/>
  <c r="M269"/>
  <c r="L269"/>
  <c r="K269"/>
  <c r="J269"/>
  <c r="G269"/>
  <c r="N268"/>
  <c r="M268"/>
  <c r="K268"/>
  <c r="G268"/>
  <c r="N267"/>
  <c r="M267"/>
  <c r="L267"/>
  <c r="K267"/>
  <c r="J267"/>
  <c r="G267"/>
  <c r="N266"/>
  <c r="M266"/>
  <c r="K266"/>
  <c r="G266"/>
  <c r="N265"/>
  <c r="M265"/>
  <c r="L265"/>
  <c r="O265"/>
  <c r="K265"/>
  <c r="J265"/>
  <c r="G265"/>
  <c r="N264"/>
  <c r="M264"/>
  <c r="K264"/>
  <c r="G264"/>
  <c r="N263"/>
  <c r="M263"/>
  <c r="L263"/>
  <c r="O263"/>
  <c r="K263"/>
  <c r="J263"/>
  <c r="G263"/>
  <c r="N262"/>
  <c r="M262"/>
  <c r="K262"/>
  <c r="G262"/>
  <c r="N261"/>
  <c r="M261"/>
  <c r="L261"/>
  <c r="K261"/>
  <c r="J261"/>
  <c r="G261"/>
  <c r="N260"/>
  <c r="M260"/>
  <c r="K260"/>
  <c r="G260"/>
  <c r="N259"/>
  <c r="M259"/>
  <c r="K259"/>
  <c r="G259"/>
  <c r="N258"/>
  <c r="M258"/>
  <c r="L258"/>
  <c r="O258"/>
  <c r="K258"/>
  <c r="J258"/>
  <c r="G258"/>
  <c r="N257"/>
  <c r="M257"/>
  <c r="K257"/>
  <c r="G257"/>
  <c r="J257"/>
  <c r="N256"/>
  <c r="M256"/>
  <c r="L256"/>
  <c r="K256"/>
  <c r="J256"/>
  <c r="G256"/>
  <c r="N255"/>
  <c r="M255"/>
  <c r="K255"/>
  <c r="G255"/>
  <c r="N253"/>
  <c r="M253"/>
  <c r="L253"/>
  <c r="O253"/>
  <c r="K253"/>
  <c r="J253"/>
  <c r="G253"/>
  <c r="N252"/>
  <c r="M252"/>
  <c r="K252"/>
  <c r="G252"/>
  <c r="J252"/>
  <c r="N251"/>
  <c r="M251"/>
  <c r="L251"/>
  <c r="O251"/>
  <c r="K251"/>
  <c r="J251"/>
  <c r="G251"/>
  <c r="N250"/>
  <c r="M250"/>
  <c r="K250"/>
  <c r="G250"/>
  <c r="N249"/>
  <c r="M249"/>
  <c r="L249"/>
  <c r="O249"/>
  <c r="K249"/>
  <c r="J249"/>
  <c r="G249"/>
  <c r="N248"/>
  <c r="M248"/>
  <c r="K248"/>
  <c r="G248"/>
  <c r="J248"/>
  <c r="N247"/>
  <c r="M247"/>
  <c r="L247"/>
  <c r="O247"/>
  <c r="K247"/>
  <c r="J247"/>
  <c r="G247"/>
  <c r="N246"/>
  <c r="M246"/>
  <c r="K246"/>
  <c r="G246"/>
  <c r="N245"/>
  <c r="M245"/>
  <c r="L245"/>
  <c r="O245"/>
  <c r="K245"/>
  <c r="J245"/>
  <c r="G245"/>
  <c r="N244"/>
  <c r="M244"/>
  <c r="K244"/>
  <c r="G244"/>
  <c r="J244"/>
  <c r="N243"/>
  <c r="M243"/>
  <c r="L243"/>
  <c r="K243"/>
  <c r="J243"/>
  <c r="G243"/>
  <c r="N242"/>
  <c r="M242"/>
  <c r="K242"/>
  <c r="G242"/>
  <c r="N241"/>
  <c r="M241"/>
  <c r="L241"/>
  <c r="O241"/>
  <c r="K241"/>
  <c r="J241"/>
  <c r="G241"/>
  <c r="N240"/>
  <c r="M240"/>
  <c r="K240"/>
  <c r="G240"/>
  <c r="J240"/>
  <c r="N239"/>
  <c r="M239"/>
  <c r="L239"/>
  <c r="K239"/>
  <c r="J239"/>
  <c r="G239"/>
  <c r="N238"/>
  <c r="M238"/>
  <c r="K238"/>
  <c r="G238"/>
  <c r="N237"/>
  <c r="M237"/>
  <c r="L237"/>
  <c r="O237"/>
  <c r="K237"/>
  <c r="J237"/>
  <c r="G237"/>
  <c r="N236"/>
  <c r="M236"/>
  <c r="K236"/>
  <c r="G236"/>
  <c r="J236"/>
  <c r="N235"/>
  <c r="M235"/>
  <c r="L235"/>
  <c r="O235"/>
  <c r="K235"/>
  <c r="J235"/>
  <c r="G235"/>
  <c r="N234"/>
  <c r="M234"/>
  <c r="K234"/>
  <c r="G234"/>
  <c r="N232"/>
  <c r="M232"/>
  <c r="L232"/>
  <c r="O232"/>
  <c r="K232"/>
  <c r="J232"/>
  <c r="G232"/>
  <c r="N231"/>
  <c r="M231"/>
  <c r="K231"/>
  <c r="G231"/>
  <c r="J231"/>
  <c r="N230"/>
  <c r="M230"/>
  <c r="L230"/>
  <c r="O230"/>
  <c r="K230"/>
  <c r="J230"/>
  <c r="G230"/>
  <c r="N229"/>
  <c r="M229"/>
  <c r="K229"/>
  <c r="G229"/>
  <c r="N228"/>
  <c r="M228"/>
  <c r="L228"/>
  <c r="O228"/>
  <c r="K228"/>
  <c r="J228"/>
  <c r="G228"/>
  <c r="N227"/>
  <c r="M227"/>
  <c r="K227"/>
  <c r="G227"/>
  <c r="J227"/>
  <c r="N226"/>
  <c r="M226"/>
  <c r="L226"/>
  <c r="K226"/>
  <c r="J226"/>
  <c r="G226"/>
  <c r="N225"/>
  <c r="M225"/>
  <c r="K225"/>
  <c r="G225"/>
  <c r="N224"/>
  <c r="M224"/>
  <c r="L224"/>
  <c r="O224"/>
  <c r="K224"/>
  <c r="J224"/>
  <c r="G224"/>
  <c r="N223"/>
  <c r="M223"/>
  <c r="K223"/>
  <c r="G223"/>
  <c r="J223"/>
  <c r="N222"/>
  <c r="M222"/>
  <c r="L222"/>
  <c r="K222"/>
  <c r="J222"/>
  <c r="G222"/>
  <c r="N221"/>
  <c r="M221"/>
  <c r="K221"/>
  <c r="G221"/>
  <c r="N220"/>
  <c r="M220"/>
  <c r="L220"/>
  <c r="O220"/>
  <c r="K220"/>
  <c r="J220"/>
  <c r="G220"/>
  <c r="N219"/>
  <c r="M219"/>
  <c r="K219"/>
  <c r="G219"/>
  <c r="N217"/>
  <c r="M217"/>
  <c r="L217"/>
  <c r="O217"/>
  <c r="K217"/>
  <c r="J217"/>
  <c r="G217"/>
  <c r="N216"/>
  <c r="M216"/>
  <c r="K216"/>
  <c r="G216"/>
  <c r="N215"/>
  <c r="M215"/>
  <c r="L215"/>
  <c r="K215"/>
  <c r="J215"/>
  <c r="G215"/>
  <c r="N214"/>
  <c r="M214"/>
  <c r="K214"/>
  <c r="G214"/>
  <c r="N213"/>
  <c r="M213"/>
  <c r="L213"/>
  <c r="K213"/>
  <c r="J213"/>
  <c r="G213"/>
  <c r="N212"/>
  <c r="M212"/>
  <c r="K212"/>
  <c r="G212"/>
  <c r="N211"/>
  <c r="M211"/>
  <c r="L211"/>
  <c r="O211"/>
  <c r="K211"/>
  <c r="J211"/>
  <c r="G211"/>
  <c r="N210"/>
  <c r="M210"/>
  <c r="K210"/>
  <c r="G210"/>
  <c r="N209"/>
  <c r="M209"/>
  <c r="L209"/>
  <c r="O209"/>
  <c r="K209"/>
  <c r="J209"/>
  <c r="G209"/>
  <c r="N208"/>
  <c r="M208"/>
  <c r="K208"/>
  <c r="G208"/>
  <c r="N207"/>
  <c r="M207"/>
  <c r="L207"/>
  <c r="K207"/>
  <c r="J207"/>
  <c r="G207"/>
  <c r="N206"/>
  <c r="M206"/>
  <c r="K206"/>
  <c r="G206"/>
  <c r="N205"/>
  <c r="M205"/>
  <c r="L205"/>
  <c r="K205"/>
  <c r="J205"/>
  <c r="G205"/>
  <c r="N204"/>
  <c r="M204"/>
  <c r="K204"/>
  <c r="G204"/>
  <c r="N203"/>
  <c r="M203"/>
  <c r="L203"/>
  <c r="O203"/>
  <c r="K203"/>
  <c r="J203"/>
  <c r="G203"/>
  <c r="N202"/>
  <c r="M202"/>
  <c r="K202"/>
  <c r="G202"/>
  <c r="N201"/>
  <c r="M201"/>
  <c r="L201"/>
  <c r="O201"/>
  <c r="K201"/>
  <c r="J201"/>
  <c r="G201"/>
  <c r="N200"/>
  <c r="M200"/>
  <c r="K200"/>
  <c r="G200"/>
  <c r="N199"/>
  <c r="M199"/>
  <c r="L199"/>
  <c r="K199"/>
  <c r="J199"/>
  <c r="G199"/>
  <c r="N198"/>
  <c r="M198"/>
  <c r="K198"/>
  <c r="G198"/>
  <c r="N197"/>
  <c r="M197"/>
  <c r="L197"/>
  <c r="K197"/>
  <c r="J197"/>
  <c r="G197"/>
  <c r="N196"/>
  <c r="M196"/>
  <c r="K196"/>
  <c r="G196"/>
  <c r="N195"/>
  <c r="M195"/>
  <c r="L195"/>
  <c r="O195"/>
  <c r="K195"/>
  <c r="J195"/>
  <c r="G195"/>
  <c r="N194"/>
  <c r="M194"/>
  <c r="K194"/>
  <c r="G194"/>
  <c r="N193"/>
  <c r="M193"/>
  <c r="L193"/>
  <c r="O193"/>
  <c r="K193"/>
  <c r="J193"/>
  <c r="G193"/>
  <c r="N192"/>
  <c r="M192"/>
  <c r="K192"/>
  <c r="G192"/>
  <c r="N191"/>
  <c r="M191"/>
  <c r="L191"/>
  <c r="K191"/>
  <c r="J191"/>
  <c r="G191"/>
  <c r="N190"/>
  <c r="M190"/>
  <c r="K190"/>
  <c r="G190"/>
  <c r="N189"/>
  <c r="M189"/>
  <c r="L189"/>
  <c r="K189"/>
  <c r="J189"/>
  <c r="G189"/>
  <c r="N188"/>
  <c r="M188"/>
  <c r="K188"/>
  <c r="G188"/>
  <c r="N187"/>
  <c r="M187"/>
  <c r="L187"/>
  <c r="O187"/>
  <c r="K187"/>
  <c r="J187"/>
  <c r="G187"/>
  <c r="N186"/>
  <c r="M186"/>
  <c r="K186"/>
  <c r="G186"/>
  <c r="N185"/>
  <c r="M185"/>
  <c r="L185"/>
  <c r="O185"/>
  <c r="K185"/>
  <c r="J185"/>
  <c r="G185"/>
  <c r="N184"/>
  <c r="M184"/>
  <c r="K184"/>
  <c r="G184"/>
  <c r="N183"/>
  <c r="M183"/>
  <c r="L183"/>
  <c r="K183"/>
  <c r="J183"/>
  <c r="G183"/>
  <c r="N182"/>
  <c r="M182"/>
  <c r="K182"/>
  <c r="G182"/>
  <c r="N181"/>
  <c r="M181"/>
  <c r="L181"/>
  <c r="K181"/>
  <c r="J181"/>
  <c r="G181"/>
  <c r="N180"/>
  <c r="M180"/>
  <c r="K180"/>
  <c r="G180"/>
  <c r="N179"/>
  <c r="M179"/>
  <c r="L179"/>
  <c r="O179"/>
  <c r="K179"/>
  <c r="J179"/>
  <c r="G179"/>
  <c r="N178"/>
  <c r="M178"/>
  <c r="K178"/>
  <c r="G178"/>
  <c r="N177"/>
  <c r="M177"/>
  <c r="L177"/>
  <c r="O177"/>
  <c r="K177"/>
  <c r="J177"/>
  <c r="G177"/>
  <c r="N176"/>
  <c r="M176"/>
  <c r="K176"/>
  <c r="G176"/>
  <c r="N175"/>
  <c r="M175"/>
  <c r="L175"/>
  <c r="K175"/>
  <c r="J175"/>
  <c r="G175"/>
  <c r="N174"/>
  <c r="M174"/>
  <c r="K174"/>
  <c r="G174"/>
  <c r="N173"/>
  <c r="M173"/>
  <c r="L173"/>
  <c r="K173"/>
  <c r="J173"/>
  <c r="G173"/>
  <c r="N170"/>
  <c r="M170"/>
  <c r="K170"/>
  <c r="G170"/>
  <c r="N169"/>
  <c r="M169"/>
  <c r="L169"/>
  <c r="O169"/>
  <c r="K169"/>
  <c r="J169"/>
  <c r="G169"/>
  <c r="N168"/>
  <c r="M168"/>
  <c r="K168"/>
  <c r="G168"/>
  <c r="N167"/>
  <c r="M167"/>
  <c r="L167"/>
  <c r="O167"/>
  <c r="K167"/>
  <c r="J167"/>
  <c r="G167"/>
  <c r="N166"/>
  <c r="M166"/>
  <c r="K166"/>
  <c r="G166"/>
  <c r="N165"/>
  <c r="M165"/>
  <c r="L165"/>
  <c r="K165"/>
  <c r="J165"/>
  <c r="G165"/>
  <c r="N164"/>
  <c r="M164"/>
  <c r="K164"/>
  <c r="G164"/>
  <c r="N163"/>
  <c r="M163"/>
  <c r="L163"/>
  <c r="K163"/>
  <c r="J163"/>
  <c r="G163"/>
  <c r="N162"/>
  <c r="M162"/>
  <c r="K162"/>
  <c r="G162"/>
  <c r="N161"/>
  <c r="M161"/>
  <c r="L161"/>
  <c r="O161"/>
  <c r="K161"/>
  <c r="J161"/>
  <c r="G161"/>
  <c r="O160"/>
  <c r="N160"/>
  <c r="M160"/>
  <c r="K160"/>
  <c r="J160"/>
  <c r="G160"/>
  <c r="L160"/>
  <c r="N159"/>
  <c r="M159"/>
  <c r="K159"/>
  <c r="G159"/>
  <c r="N158"/>
  <c r="M158"/>
  <c r="L158"/>
  <c r="O158"/>
  <c r="K158"/>
  <c r="G158"/>
  <c r="J158"/>
  <c r="N157"/>
  <c r="M157"/>
  <c r="K157"/>
  <c r="G157"/>
  <c r="J157"/>
  <c r="N156"/>
  <c r="M156"/>
  <c r="L156"/>
  <c r="O156"/>
  <c r="K156"/>
  <c r="J156"/>
  <c r="G156"/>
  <c r="N155"/>
  <c r="M155"/>
  <c r="K155"/>
  <c r="G155"/>
  <c r="N154"/>
  <c r="M154"/>
  <c r="L154"/>
  <c r="O154"/>
  <c r="K154"/>
  <c r="G154"/>
  <c r="J154"/>
  <c r="N153"/>
  <c r="M153"/>
  <c r="K153"/>
  <c r="G153"/>
  <c r="J153"/>
  <c r="N152"/>
  <c r="M152"/>
  <c r="L152"/>
  <c r="O152"/>
  <c r="K152"/>
  <c r="J152"/>
  <c r="G152"/>
  <c r="N151"/>
  <c r="M151"/>
  <c r="K151"/>
  <c r="G151"/>
  <c r="N150"/>
  <c r="M150"/>
  <c r="L150"/>
  <c r="O150"/>
  <c r="K150"/>
  <c r="G150"/>
  <c r="J150"/>
  <c r="N149"/>
  <c r="M149"/>
  <c r="K149"/>
  <c r="G149"/>
  <c r="J149"/>
  <c r="N148"/>
  <c r="M148"/>
  <c r="L148"/>
  <c r="O148"/>
  <c r="K148"/>
  <c r="J148"/>
  <c r="G148"/>
  <c r="N147"/>
  <c r="M147"/>
  <c r="K147"/>
  <c r="G147"/>
  <c r="N146"/>
  <c r="M146"/>
  <c r="L146"/>
  <c r="O146"/>
  <c r="K146"/>
  <c r="J146"/>
  <c r="G146"/>
  <c r="N145"/>
  <c r="M145"/>
  <c r="K145"/>
  <c r="G145"/>
  <c r="J145"/>
  <c r="N144"/>
  <c r="M144"/>
  <c r="L144"/>
  <c r="K144"/>
  <c r="J144"/>
  <c r="G144"/>
  <c r="N143"/>
  <c r="M143"/>
  <c r="K143"/>
  <c r="G143"/>
  <c r="N142"/>
  <c r="M142"/>
  <c r="L142"/>
  <c r="O142"/>
  <c r="K142"/>
  <c r="J142"/>
  <c r="G142"/>
  <c r="N141"/>
  <c r="M141"/>
  <c r="K141"/>
  <c r="G141"/>
  <c r="J141"/>
  <c r="N140"/>
  <c r="M140"/>
  <c r="L140"/>
  <c r="K140"/>
  <c r="J140"/>
  <c r="G140"/>
  <c r="N138"/>
  <c r="M138"/>
  <c r="K138"/>
  <c r="G138"/>
  <c r="N137"/>
  <c r="M137"/>
  <c r="L137"/>
  <c r="O137"/>
  <c r="K137"/>
  <c r="J137"/>
  <c r="G137"/>
  <c r="N136"/>
  <c r="M136"/>
  <c r="K136"/>
  <c r="G136"/>
  <c r="J136"/>
  <c r="N135"/>
  <c r="M135"/>
  <c r="L135"/>
  <c r="O135"/>
  <c r="K135"/>
  <c r="J135"/>
  <c r="G135"/>
  <c r="N134"/>
  <c r="M134"/>
  <c r="K134"/>
  <c r="G134"/>
  <c r="N133"/>
  <c r="M133"/>
  <c r="L133"/>
  <c r="O133"/>
  <c r="K133"/>
  <c r="J133"/>
  <c r="G133"/>
  <c r="N132"/>
  <c r="M132"/>
  <c r="K132"/>
  <c r="G132"/>
  <c r="J132"/>
  <c r="N131"/>
  <c r="M131"/>
  <c r="L131"/>
  <c r="O131"/>
  <c r="K131"/>
  <c r="J131"/>
  <c r="G131"/>
  <c r="N130"/>
  <c r="M130"/>
  <c r="K130"/>
  <c r="G130"/>
  <c r="N129"/>
  <c r="M129"/>
  <c r="L129"/>
  <c r="O129"/>
  <c r="K129"/>
  <c r="J129"/>
  <c r="G129"/>
  <c r="N128"/>
  <c r="M128"/>
  <c r="K128"/>
  <c r="G128"/>
  <c r="J128"/>
  <c r="N127"/>
  <c r="M127"/>
  <c r="L127"/>
  <c r="K127"/>
  <c r="J127"/>
  <c r="G127"/>
  <c r="N126"/>
  <c r="M126"/>
  <c r="K126"/>
  <c r="G126"/>
  <c r="N125"/>
  <c r="M125"/>
  <c r="L125"/>
  <c r="O125"/>
  <c r="K125"/>
  <c r="J125"/>
  <c r="G125"/>
  <c r="N124"/>
  <c r="M124"/>
  <c r="K124"/>
  <c r="G124"/>
  <c r="J124"/>
  <c r="N123"/>
  <c r="M123"/>
  <c r="L123"/>
  <c r="K123"/>
  <c r="J123"/>
  <c r="G123"/>
  <c r="N122"/>
  <c r="M122"/>
  <c r="K122"/>
  <c r="G122"/>
  <c r="N121"/>
  <c r="M121"/>
  <c r="L121"/>
  <c r="O121"/>
  <c r="K121"/>
  <c r="J121"/>
  <c r="G121"/>
  <c r="N120"/>
  <c r="M120"/>
  <c r="K120"/>
  <c r="G120"/>
  <c r="J120"/>
  <c r="N119"/>
  <c r="M119"/>
  <c r="L119"/>
  <c r="O119"/>
  <c r="K119"/>
  <c r="J119"/>
  <c r="G119"/>
  <c r="N118"/>
  <c r="M118"/>
  <c r="K118"/>
  <c r="G118"/>
  <c r="N117"/>
  <c r="M117"/>
  <c r="L117"/>
  <c r="O117"/>
  <c r="K117"/>
  <c r="J117"/>
  <c r="G117"/>
  <c r="M116"/>
  <c r="N115"/>
  <c r="M115"/>
  <c r="L115"/>
  <c r="O115"/>
  <c r="K115"/>
  <c r="J115"/>
  <c r="G115"/>
  <c r="N114"/>
  <c r="M114"/>
  <c r="K114"/>
  <c r="G114"/>
  <c r="J114"/>
  <c r="N113"/>
  <c r="M113"/>
  <c r="L113"/>
  <c r="O113"/>
  <c r="K113"/>
  <c r="J113"/>
  <c r="G113"/>
  <c r="N112"/>
  <c r="M112"/>
  <c r="K112"/>
  <c r="G112"/>
  <c r="N111"/>
  <c r="M111"/>
  <c r="L111"/>
  <c r="O111"/>
  <c r="K111"/>
  <c r="J111"/>
  <c r="G111"/>
  <c r="N110"/>
  <c r="M110"/>
  <c r="K110"/>
  <c r="G110"/>
  <c r="J110"/>
  <c r="N109"/>
  <c r="M109"/>
  <c r="L109"/>
  <c r="O109"/>
  <c r="K109"/>
  <c r="J109"/>
  <c r="G109"/>
  <c r="N108"/>
  <c r="M108"/>
  <c r="K108"/>
  <c r="G108"/>
  <c r="N107"/>
  <c r="M107"/>
  <c r="L107"/>
  <c r="O107"/>
  <c r="K107"/>
  <c r="J107"/>
  <c r="G107"/>
  <c r="N106"/>
  <c r="M106"/>
  <c r="K106"/>
  <c r="G106"/>
  <c r="J106"/>
  <c r="N105"/>
  <c r="O105"/>
  <c r="M105"/>
  <c r="L105"/>
  <c r="K105"/>
  <c r="J105"/>
  <c r="G105"/>
  <c r="N104"/>
  <c r="M104"/>
  <c r="K104"/>
  <c r="G104"/>
  <c r="N103"/>
  <c r="M103"/>
  <c r="L103"/>
  <c r="O103"/>
  <c r="K103"/>
  <c r="G103"/>
  <c r="J103"/>
  <c r="O102"/>
  <c r="N102"/>
  <c r="M102"/>
  <c r="L102"/>
  <c r="K102"/>
  <c r="G102"/>
  <c r="J102"/>
  <c r="N101"/>
  <c r="O101"/>
  <c r="M101"/>
  <c r="L101"/>
  <c r="K101"/>
  <c r="J101"/>
  <c r="G101"/>
  <c r="N100"/>
  <c r="M100"/>
  <c r="K100"/>
  <c r="G100"/>
  <c r="N99"/>
  <c r="M99"/>
  <c r="L99"/>
  <c r="O99"/>
  <c r="K99"/>
  <c r="G99"/>
  <c r="J99"/>
  <c r="O98"/>
  <c r="N98"/>
  <c r="M98"/>
  <c r="L98"/>
  <c r="K98"/>
  <c r="G98"/>
  <c r="J98"/>
  <c r="N97"/>
  <c r="O97"/>
  <c r="M97"/>
  <c r="L97"/>
  <c r="K97"/>
  <c r="J97"/>
  <c r="G97"/>
  <c r="N96"/>
  <c r="M96"/>
  <c r="K96"/>
  <c r="G96"/>
  <c r="N95"/>
  <c r="M95"/>
  <c r="L95"/>
  <c r="O95"/>
  <c r="K95"/>
  <c r="G95"/>
  <c r="J95"/>
  <c r="O94"/>
  <c r="N94"/>
  <c r="M94"/>
  <c r="L94"/>
  <c r="K94"/>
  <c r="G94"/>
  <c r="J94"/>
  <c r="N93"/>
  <c r="O93"/>
  <c r="M93"/>
  <c r="L93"/>
  <c r="K93"/>
  <c r="J93"/>
  <c r="G93"/>
  <c r="N92"/>
  <c r="M92"/>
  <c r="K92"/>
  <c r="G92"/>
  <c r="N91"/>
  <c r="M91"/>
  <c r="L91"/>
  <c r="O91"/>
  <c r="K91"/>
  <c r="G91"/>
  <c r="J91"/>
  <c r="O90"/>
  <c r="N90"/>
  <c r="M90"/>
  <c r="L90"/>
  <c r="K90"/>
  <c r="G90"/>
  <c r="J90"/>
  <c r="N89"/>
  <c r="O89"/>
  <c r="M89"/>
  <c r="L89"/>
  <c r="K89"/>
  <c r="J89"/>
  <c r="G89"/>
  <c r="N88"/>
  <c r="M88"/>
  <c r="K88"/>
  <c r="G88"/>
  <c r="N87"/>
  <c r="M87"/>
  <c r="L87"/>
  <c r="O87"/>
  <c r="K87"/>
  <c r="G87"/>
  <c r="J87"/>
  <c r="O86"/>
  <c r="N86"/>
  <c r="M86"/>
  <c r="L86"/>
  <c r="K86"/>
  <c r="G86"/>
  <c r="J86"/>
  <c r="N84"/>
  <c r="O84"/>
  <c r="M84"/>
  <c r="L84"/>
  <c r="K84"/>
  <c r="J84"/>
  <c r="G84"/>
  <c r="N83"/>
  <c r="M83"/>
  <c r="K83"/>
  <c r="G83"/>
  <c r="N82"/>
  <c r="M82"/>
  <c r="L82"/>
  <c r="O82"/>
  <c r="K82"/>
  <c r="G82"/>
  <c r="J82"/>
  <c r="O81"/>
  <c r="N81"/>
  <c r="M81"/>
  <c r="L81"/>
  <c r="K81"/>
  <c r="G81"/>
  <c r="J81"/>
  <c r="N80"/>
  <c r="O80"/>
  <c r="M80"/>
  <c r="L80"/>
  <c r="K80"/>
  <c r="J80"/>
  <c r="G80"/>
  <c r="N79"/>
  <c r="M79"/>
  <c r="K79"/>
  <c r="G79"/>
  <c r="N78"/>
  <c r="M78"/>
  <c r="L78"/>
  <c r="O78"/>
  <c r="K78"/>
  <c r="G78"/>
  <c r="J78"/>
  <c r="O77"/>
  <c r="N77"/>
  <c r="M77"/>
  <c r="L77"/>
  <c r="K77"/>
  <c r="G77"/>
  <c r="J77"/>
  <c r="N76"/>
  <c r="O76"/>
  <c r="M76"/>
  <c r="L76"/>
  <c r="K76"/>
  <c r="J76"/>
  <c r="G76"/>
  <c r="N75"/>
  <c r="M75"/>
  <c r="K75"/>
  <c r="G75"/>
  <c r="N74"/>
  <c r="M74"/>
  <c r="L74"/>
  <c r="O74"/>
  <c r="K74"/>
  <c r="G74"/>
  <c r="J74"/>
  <c r="O73"/>
  <c r="N73"/>
  <c r="M73"/>
  <c r="L73"/>
  <c r="K73"/>
  <c r="G73"/>
  <c r="J73"/>
  <c r="N72"/>
  <c r="O72"/>
  <c r="M72"/>
  <c r="L72"/>
  <c r="K72"/>
  <c r="J72"/>
  <c r="G72"/>
  <c r="N71"/>
  <c r="M71"/>
  <c r="K71"/>
  <c r="G71"/>
  <c r="N69"/>
  <c r="M69"/>
  <c r="L69"/>
  <c r="O69"/>
  <c r="K69"/>
  <c r="G69"/>
  <c r="J69"/>
  <c r="O68"/>
  <c r="N68"/>
  <c r="M68"/>
  <c r="L68"/>
  <c r="K68"/>
  <c r="G68"/>
  <c r="J68"/>
  <c r="N67"/>
  <c r="O67"/>
  <c r="M67"/>
  <c r="L67"/>
  <c r="K67"/>
  <c r="J67"/>
  <c r="G67"/>
  <c r="N66"/>
  <c r="M66"/>
  <c r="K66"/>
  <c r="G66"/>
  <c r="N65"/>
  <c r="M65"/>
  <c r="L65"/>
  <c r="O65"/>
  <c r="K65"/>
  <c r="G65"/>
  <c r="J65"/>
  <c r="O64"/>
  <c r="N64"/>
  <c r="M64"/>
  <c r="L64"/>
  <c r="K64"/>
  <c r="G64"/>
  <c r="J64"/>
  <c r="N63"/>
  <c r="O63"/>
  <c r="M63"/>
  <c r="L63"/>
  <c r="K63"/>
  <c r="J63"/>
  <c r="G63"/>
  <c r="N62"/>
  <c r="M62"/>
  <c r="K62"/>
  <c r="G62"/>
  <c r="N61"/>
  <c r="M61"/>
  <c r="L61"/>
  <c r="O61"/>
  <c r="K61"/>
  <c r="G61"/>
  <c r="J61"/>
  <c r="O60"/>
  <c r="N60"/>
  <c r="M60"/>
  <c r="L60"/>
  <c r="K60"/>
  <c r="G60"/>
  <c r="J60"/>
  <c r="N59"/>
  <c r="O59"/>
  <c r="M59"/>
  <c r="L59"/>
  <c r="K59"/>
  <c r="J59"/>
  <c r="G59"/>
  <c r="N58"/>
  <c r="M58"/>
  <c r="K58"/>
  <c r="G58"/>
  <c r="N57"/>
  <c r="M57"/>
  <c r="L57"/>
  <c r="O57"/>
  <c r="K57"/>
  <c r="G57"/>
  <c r="J57"/>
  <c r="O56"/>
  <c r="N56"/>
  <c r="M56"/>
  <c r="L56"/>
  <c r="K56"/>
  <c r="G56"/>
  <c r="J56"/>
  <c r="N55"/>
  <c r="O55"/>
  <c r="M55"/>
  <c r="L55"/>
  <c r="K55"/>
  <c r="J55"/>
  <c r="G55"/>
  <c r="N54"/>
  <c r="M54"/>
  <c r="K54"/>
  <c r="G54"/>
  <c r="N53"/>
  <c r="M53"/>
  <c r="L53"/>
  <c r="O53"/>
  <c r="K53"/>
  <c r="G53"/>
  <c r="J53"/>
  <c r="O52"/>
  <c r="N52"/>
  <c r="M52"/>
  <c r="L52"/>
  <c r="K52"/>
  <c r="G52"/>
  <c r="J52"/>
  <c r="N51"/>
  <c r="O51"/>
  <c r="M51"/>
  <c r="L51"/>
  <c r="K51"/>
  <c r="J51"/>
  <c r="G51"/>
  <c r="N50"/>
  <c r="M50"/>
  <c r="K50"/>
  <c r="G50"/>
  <c r="N49"/>
  <c r="M49"/>
  <c r="L49"/>
  <c r="O49"/>
  <c r="K49"/>
  <c r="G49"/>
  <c r="J49"/>
  <c r="O48"/>
  <c r="N48"/>
  <c r="M48"/>
  <c r="L48"/>
  <c r="K48"/>
  <c r="G48"/>
  <c r="J48"/>
  <c r="N47"/>
  <c r="O47"/>
  <c r="M47"/>
  <c r="L47"/>
  <c r="K47"/>
  <c r="J47"/>
  <c r="G47"/>
  <c r="N46"/>
  <c r="M46"/>
  <c r="K46"/>
  <c r="G46"/>
  <c r="N45"/>
  <c r="M45"/>
  <c r="L45"/>
  <c r="O45"/>
  <c r="K45"/>
  <c r="G45"/>
  <c r="J45"/>
  <c r="O44"/>
  <c r="N44"/>
  <c r="M44"/>
  <c r="L44"/>
  <c r="K44"/>
  <c r="G44"/>
  <c r="J44"/>
  <c r="N43"/>
  <c r="O43"/>
  <c r="M43"/>
  <c r="L43"/>
  <c r="K43"/>
  <c r="J43"/>
  <c r="G43"/>
  <c r="N42"/>
  <c r="M42"/>
  <c r="K42"/>
  <c r="G42"/>
  <c r="N41"/>
  <c r="M41"/>
  <c r="L41"/>
  <c r="O41"/>
  <c r="K41"/>
  <c r="G41"/>
  <c r="J41"/>
  <c r="O40"/>
  <c r="N40"/>
  <c r="M40"/>
  <c r="L40"/>
  <c r="K40"/>
  <c r="G40"/>
  <c r="J40"/>
  <c r="N39"/>
  <c r="O39"/>
  <c r="M39"/>
  <c r="L39"/>
  <c r="K39"/>
  <c r="J39"/>
  <c r="G39"/>
  <c r="N38"/>
  <c r="M38"/>
  <c r="K38"/>
  <c r="G38"/>
  <c r="N37"/>
  <c r="M37"/>
  <c r="L37"/>
  <c r="O37"/>
  <c r="K37"/>
  <c r="G37"/>
  <c r="J37"/>
  <c r="N36"/>
  <c r="M36"/>
  <c r="L36"/>
  <c r="O36"/>
  <c r="K36"/>
  <c r="G36"/>
  <c r="J36"/>
  <c r="N35"/>
  <c r="O35"/>
  <c r="M35"/>
  <c r="L35"/>
  <c r="K35"/>
  <c r="J35"/>
  <c r="G35"/>
  <c r="N34"/>
  <c r="M34"/>
  <c r="K34"/>
  <c r="G34"/>
  <c r="L34"/>
  <c r="O34"/>
  <c r="N33"/>
  <c r="M33"/>
  <c r="K33"/>
  <c r="G33"/>
  <c r="J33"/>
  <c r="O32"/>
  <c r="N32"/>
  <c r="M32"/>
  <c r="L32"/>
  <c r="K32"/>
  <c r="G32"/>
  <c r="J32"/>
  <c r="O31"/>
  <c r="N31"/>
  <c r="M31"/>
  <c r="L31"/>
  <c r="K31"/>
  <c r="J31"/>
  <c r="G31"/>
  <c r="N30"/>
  <c r="M30"/>
  <c r="K30"/>
  <c r="J30"/>
  <c r="G30"/>
  <c r="L30"/>
  <c r="N29"/>
  <c r="M29"/>
  <c r="K29"/>
  <c r="G29"/>
  <c r="J29"/>
  <c r="N28"/>
  <c r="M28"/>
  <c r="L28"/>
  <c r="O28"/>
  <c r="K28"/>
  <c r="G28"/>
  <c r="J28"/>
  <c r="N27"/>
  <c r="O27"/>
  <c r="M27"/>
  <c r="L27"/>
  <c r="K27"/>
  <c r="J27"/>
  <c r="G27"/>
  <c r="N26"/>
  <c r="M26"/>
  <c r="K26"/>
  <c r="G26"/>
  <c r="L26"/>
  <c r="O26"/>
  <c r="N25"/>
  <c r="M25"/>
  <c r="L25"/>
  <c r="K25"/>
  <c r="G25"/>
  <c r="J25"/>
  <c r="O24"/>
  <c r="N24"/>
  <c r="M24"/>
  <c r="L24"/>
  <c r="K24"/>
  <c r="G24"/>
  <c r="J24"/>
  <c r="O23"/>
  <c r="N23"/>
  <c r="M23"/>
  <c r="L23"/>
  <c r="K23"/>
  <c r="J23"/>
  <c r="G23"/>
  <c r="N22"/>
  <c r="M22"/>
  <c r="K22"/>
  <c r="J22"/>
  <c r="G22"/>
  <c r="L22"/>
  <c r="N21"/>
  <c r="M21"/>
  <c r="L21"/>
  <c r="O21"/>
  <c r="K21"/>
  <c r="G21"/>
  <c r="J21"/>
  <c r="N20"/>
  <c r="M20"/>
  <c r="L20"/>
  <c r="O20"/>
  <c r="K20"/>
  <c r="G20"/>
  <c r="J20"/>
  <c r="N19"/>
  <c r="O19"/>
  <c r="M19"/>
  <c r="L19"/>
  <c r="K19"/>
  <c r="J19"/>
  <c r="G19"/>
  <c r="N18"/>
  <c r="M18"/>
  <c r="K18"/>
  <c r="G18"/>
  <c r="L18"/>
  <c r="O18"/>
  <c r="N17"/>
  <c r="M17"/>
  <c r="K17"/>
  <c r="G17"/>
  <c r="J17"/>
  <c r="N16"/>
  <c r="M16"/>
  <c r="K16"/>
  <c r="G16"/>
  <c r="J16"/>
  <c r="N15"/>
  <c r="K15"/>
  <c r="J15"/>
  <c r="H15"/>
  <c r="M15"/>
  <c r="G15"/>
  <c r="L15"/>
  <c r="O15"/>
  <c r="N14"/>
  <c r="K14"/>
  <c r="J14"/>
  <c r="H14"/>
  <c r="M14"/>
  <c r="G14"/>
  <c r="L14"/>
  <c r="N48" i="64"/>
  <c r="M48"/>
  <c r="L48"/>
  <c r="O48"/>
  <c r="K48"/>
  <c r="J48"/>
  <c r="N47"/>
  <c r="M47"/>
  <c r="L47"/>
  <c r="O47"/>
  <c r="K47"/>
  <c r="J47"/>
  <c r="N46"/>
  <c r="M46"/>
  <c r="L46"/>
  <c r="O46"/>
  <c r="K46"/>
  <c r="J46"/>
  <c r="N45"/>
  <c r="M45"/>
  <c r="L45"/>
  <c r="O45"/>
  <c r="K45"/>
  <c r="J45"/>
  <c r="N44"/>
  <c r="M44"/>
  <c r="L44"/>
  <c r="O44"/>
  <c r="K44"/>
  <c r="J44"/>
  <c r="N43"/>
  <c r="M43"/>
  <c r="L43"/>
  <c r="O43"/>
  <c r="K43"/>
  <c r="J43"/>
  <c r="N42"/>
  <c r="M42"/>
  <c r="L42"/>
  <c r="O42"/>
  <c r="K42"/>
  <c r="J42"/>
  <c r="N40"/>
  <c r="M40"/>
  <c r="K40"/>
  <c r="J40"/>
  <c r="G40"/>
  <c r="L40"/>
  <c r="O40"/>
  <c r="N39"/>
  <c r="M39"/>
  <c r="K39"/>
  <c r="G39"/>
  <c r="L39"/>
  <c r="O39"/>
  <c r="N38"/>
  <c r="M38"/>
  <c r="L38"/>
  <c r="O38"/>
  <c r="K38"/>
  <c r="J38"/>
  <c r="G38"/>
  <c r="O36"/>
  <c r="N36"/>
  <c r="M36"/>
  <c r="L36"/>
  <c r="K36"/>
  <c r="J36"/>
  <c r="N35"/>
  <c r="M35"/>
  <c r="K35"/>
  <c r="G35"/>
  <c r="L35"/>
  <c r="O35"/>
  <c r="N34"/>
  <c r="M34"/>
  <c r="L34"/>
  <c r="O34"/>
  <c r="J34"/>
  <c r="N33"/>
  <c r="M33"/>
  <c r="O33"/>
  <c r="L33"/>
  <c r="J33"/>
  <c r="N32"/>
  <c r="M32"/>
  <c r="K32"/>
  <c r="J32"/>
  <c r="G32"/>
  <c r="L32"/>
  <c r="O32"/>
  <c r="N31"/>
  <c r="M31"/>
  <c r="K31"/>
  <c r="G31"/>
  <c r="L31"/>
  <c r="O31"/>
  <c r="N30"/>
  <c r="M30"/>
  <c r="L30"/>
  <c r="O30"/>
  <c r="K30"/>
  <c r="G30"/>
  <c r="J30"/>
  <c r="O29"/>
  <c r="N29"/>
  <c r="M29"/>
  <c r="L29"/>
  <c r="K29"/>
  <c r="K49"/>
  <c r="G29"/>
  <c r="J29"/>
  <c r="N28"/>
  <c r="M28"/>
  <c r="K28"/>
  <c r="J28"/>
  <c r="G28"/>
  <c r="L28"/>
  <c r="O28"/>
  <c r="N27"/>
  <c r="M27"/>
  <c r="K27"/>
  <c r="G27"/>
  <c r="L27"/>
  <c r="O27"/>
  <c r="N26"/>
  <c r="M26"/>
  <c r="L26"/>
  <c r="O26"/>
  <c r="K26"/>
  <c r="J26"/>
  <c r="N25"/>
  <c r="M25"/>
  <c r="K25"/>
  <c r="J25"/>
  <c r="G25"/>
  <c r="L25"/>
  <c r="O25"/>
  <c r="N24"/>
  <c r="M24"/>
  <c r="K24"/>
  <c r="G24"/>
  <c r="L24"/>
  <c r="O24"/>
  <c r="N22"/>
  <c r="M22"/>
  <c r="L22"/>
  <c r="O22"/>
  <c r="K22"/>
  <c r="J22"/>
  <c r="N20"/>
  <c r="K20"/>
  <c r="J20"/>
  <c r="G20"/>
  <c r="D20"/>
  <c r="M20"/>
  <c r="N19"/>
  <c r="K19"/>
  <c r="J19"/>
  <c r="G19"/>
  <c r="D19"/>
  <c r="M19"/>
  <c r="N18"/>
  <c r="K18"/>
  <c r="J18"/>
  <c r="G18"/>
  <c r="D18"/>
  <c r="M18"/>
  <c r="N17"/>
  <c r="M17"/>
  <c r="K17"/>
  <c r="J17"/>
  <c r="G17"/>
  <c r="D17"/>
  <c r="L17"/>
  <c r="O17"/>
  <c r="N16"/>
  <c r="M16"/>
  <c r="K16"/>
  <c r="J16"/>
  <c r="G16"/>
  <c r="D16"/>
  <c r="L16"/>
  <c r="O16"/>
  <c r="N15"/>
  <c r="M15"/>
  <c r="K15"/>
  <c r="J15"/>
  <c r="G15"/>
  <c r="D15"/>
  <c r="L15"/>
  <c r="O15"/>
  <c r="N14"/>
  <c r="M14"/>
  <c r="K14"/>
  <c r="J14"/>
  <c r="G14"/>
  <c r="D14"/>
  <c r="L14"/>
  <c r="O14"/>
  <c r="N13"/>
  <c r="N49"/>
  <c r="M13"/>
  <c r="M49"/>
  <c r="K13"/>
  <c r="J13"/>
  <c r="G13"/>
  <c r="D13"/>
  <c r="L13"/>
  <c r="N98" i="63"/>
  <c r="M98"/>
  <c r="L98"/>
  <c r="K98"/>
  <c r="J98"/>
  <c r="N97"/>
  <c r="M97"/>
  <c r="L97"/>
  <c r="K97"/>
  <c r="J97"/>
  <c r="N96"/>
  <c r="M96"/>
  <c r="L96"/>
  <c r="K96"/>
  <c r="J96"/>
  <c r="N95"/>
  <c r="M95"/>
  <c r="L95"/>
  <c r="K95"/>
  <c r="J95"/>
  <c r="N94"/>
  <c r="M94"/>
  <c r="L94"/>
  <c r="K94"/>
  <c r="J94"/>
  <c r="N93"/>
  <c r="M93"/>
  <c r="L93"/>
  <c r="K93"/>
  <c r="J93"/>
  <c r="N92"/>
  <c r="M92"/>
  <c r="L92"/>
  <c r="K92"/>
  <c r="J92"/>
  <c r="N91"/>
  <c r="M91"/>
  <c r="L91"/>
  <c r="K91"/>
  <c r="J91"/>
  <c r="N89"/>
  <c r="M89"/>
  <c r="K89"/>
  <c r="G89"/>
  <c r="L89" s="1"/>
  <c r="K87"/>
  <c r="G87"/>
  <c r="L87" s="1"/>
  <c r="O87" s="1"/>
  <c r="D87"/>
  <c r="N87"/>
  <c r="K86"/>
  <c r="G86"/>
  <c r="L86" s="1"/>
  <c r="O86" s="1"/>
  <c r="D86"/>
  <c r="N86"/>
  <c r="G85"/>
  <c r="J85" s="1"/>
  <c r="D85"/>
  <c r="K85" s="1"/>
  <c r="G84"/>
  <c r="L84" s="1"/>
  <c r="D84"/>
  <c r="M84" s="1"/>
  <c r="G83"/>
  <c r="J83"/>
  <c r="D83"/>
  <c r="K83" s="1"/>
  <c r="G82"/>
  <c r="D82"/>
  <c r="M82" s="1"/>
  <c r="N81"/>
  <c r="M81"/>
  <c r="K81"/>
  <c r="G81"/>
  <c r="J81" s="1"/>
  <c r="N79"/>
  <c r="M79"/>
  <c r="K79"/>
  <c r="G79"/>
  <c r="J79" s="1"/>
  <c r="N78"/>
  <c r="M78"/>
  <c r="K78"/>
  <c r="G78"/>
  <c r="L78" s="1"/>
  <c r="O78" s="1"/>
  <c r="N77"/>
  <c r="M77"/>
  <c r="K77"/>
  <c r="J77"/>
  <c r="G77"/>
  <c r="L77" s="1"/>
  <c r="N76"/>
  <c r="M76"/>
  <c r="K76"/>
  <c r="G76"/>
  <c r="J76" s="1"/>
  <c r="N75"/>
  <c r="M75"/>
  <c r="K75"/>
  <c r="G75"/>
  <c r="L75" s="1"/>
  <c r="N74"/>
  <c r="M74"/>
  <c r="K74"/>
  <c r="G74"/>
  <c r="L74" s="1"/>
  <c r="N72"/>
  <c r="M72"/>
  <c r="K72"/>
  <c r="G72"/>
  <c r="L72" s="1"/>
  <c r="O72" s="1"/>
  <c r="N71"/>
  <c r="M71"/>
  <c r="K71"/>
  <c r="G71"/>
  <c r="J71" s="1"/>
  <c r="N70"/>
  <c r="M70"/>
  <c r="K70"/>
  <c r="J70"/>
  <c r="G70"/>
  <c r="L70" s="1"/>
  <c r="O70" s="1"/>
  <c r="N69"/>
  <c r="M69"/>
  <c r="K69"/>
  <c r="G69"/>
  <c r="L69" s="1"/>
  <c r="N68"/>
  <c r="M68"/>
  <c r="K68"/>
  <c r="G68"/>
  <c r="L68" s="1"/>
  <c r="N67"/>
  <c r="M67"/>
  <c r="K67"/>
  <c r="G67"/>
  <c r="J67"/>
  <c r="N65"/>
  <c r="M65"/>
  <c r="K65"/>
  <c r="G65"/>
  <c r="L65" s="1"/>
  <c r="O65" s="1"/>
  <c r="N64"/>
  <c r="M64"/>
  <c r="K64"/>
  <c r="G64"/>
  <c r="J64" s="1"/>
  <c r="N63"/>
  <c r="M63"/>
  <c r="K63"/>
  <c r="G63"/>
  <c r="J63" s="1"/>
  <c r="N62"/>
  <c r="M62"/>
  <c r="K62"/>
  <c r="G62"/>
  <c r="J62" s="1"/>
  <c r="N61"/>
  <c r="M61"/>
  <c r="K61"/>
  <c r="G61"/>
  <c r="J61" s="1"/>
  <c r="N59"/>
  <c r="M59"/>
  <c r="K59"/>
  <c r="G59"/>
  <c r="L59" s="1"/>
  <c r="O59" s="1"/>
  <c r="N57"/>
  <c r="M57"/>
  <c r="K57"/>
  <c r="J57"/>
  <c r="G57"/>
  <c r="L57" s="1"/>
  <c r="O57" s="1"/>
  <c r="N56"/>
  <c r="M56"/>
  <c r="K56"/>
  <c r="G56"/>
  <c r="J56" s="1"/>
  <c r="N55"/>
  <c r="M55"/>
  <c r="K55"/>
  <c r="J55"/>
  <c r="G55"/>
  <c r="L55" s="1"/>
  <c r="N54"/>
  <c r="M54"/>
  <c r="K54"/>
  <c r="G54"/>
  <c r="L54" s="1"/>
  <c r="N53"/>
  <c r="M53"/>
  <c r="K53"/>
  <c r="G53"/>
  <c r="L53" s="1"/>
  <c r="O53" s="1"/>
  <c r="N51"/>
  <c r="M51"/>
  <c r="K51"/>
  <c r="G51"/>
  <c r="J51" s="1"/>
  <c r="N50"/>
  <c r="M50"/>
  <c r="K50"/>
  <c r="J50"/>
  <c r="G50"/>
  <c r="L50"/>
  <c r="O50"/>
  <c r="N49"/>
  <c r="M49"/>
  <c r="K49"/>
  <c r="G49"/>
  <c r="L49" s="1"/>
  <c r="O49" s="1"/>
  <c r="N48"/>
  <c r="M48"/>
  <c r="K48"/>
  <c r="J48"/>
  <c r="G48"/>
  <c r="L48" s="1"/>
  <c r="O48" s="1"/>
  <c r="N47"/>
  <c r="M47"/>
  <c r="K47"/>
  <c r="J47"/>
  <c r="G47"/>
  <c r="L47" s="1"/>
  <c r="O47" s="1"/>
  <c r="N45"/>
  <c r="M45"/>
  <c r="K45"/>
  <c r="J45"/>
  <c r="G45"/>
  <c r="L45" s="1"/>
  <c r="O45" s="1"/>
  <c r="N44"/>
  <c r="M44"/>
  <c r="K44"/>
  <c r="G44"/>
  <c r="L44" s="1"/>
  <c r="O44" s="1"/>
  <c r="N43"/>
  <c r="M43"/>
  <c r="K43"/>
  <c r="G43"/>
  <c r="J43" s="1"/>
  <c r="N42"/>
  <c r="M42"/>
  <c r="K42"/>
  <c r="G42"/>
  <c r="L42" s="1"/>
  <c r="N41"/>
  <c r="M41"/>
  <c r="K41"/>
  <c r="G41"/>
  <c r="J41" s="1"/>
  <c r="N39"/>
  <c r="M39"/>
  <c r="K39"/>
  <c r="G39"/>
  <c r="L39"/>
  <c r="N38"/>
  <c r="M38"/>
  <c r="K38"/>
  <c r="G38"/>
  <c r="L38" s="1"/>
  <c r="O38" s="1"/>
  <c r="N37"/>
  <c r="M37"/>
  <c r="K37"/>
  <c r="G37"/>
  <c r="J37" s="1"/>
  <c r="N36"/>
  <c r="M36"/>
  <c r="K36"/>
  <c r="G36"/>
  <c r="J36" s="1"/>
  <c r="N35"/>
  <c r="M35"/>
  <c r="K35"/>
  <c r="G35"/>
  <c r="L35" s="1"/>
  <c r="O35" s="1"/>
  <c r="N33"/>
  <c r="M33"/>
  <c r="K33"/>
  <c r="J33"/>
  <c r="G33"/>
  <c r="L33" s="1"/>
  <c r="O33" s="1"/>
  <c r="N32"/>
  <c r="M32"/>
  <c r="K32"/>
  <c r="G32"/>
  <c r="J32" s="1"/>
  <c r="N30"/>
  <c r="M30"/>
  <c r="K30"/>
  <c r="G30"/>
  <c r="J30" s="1"/>
  <c r="N29"/>
  <c r="M29"/>
  <c r="K29"/>
  <c r="G29"/>
  <c r="L29" s="1"/>
  <c r="N28"/>
  <c r="M28"/>
  <c r="K28"/>
  <c r="J28"/>
  <c r="G28"/>
  <c r="L28" s="1"/>
  <c r="N27"/>
  <c r="M27"/>
  <c r="K27"/>
  <c r="G27"/>
  <c r="J27" s="1"/>
  <c r="N25"/>
  <c r="M25"/>
  <c r="K25"/>
  <c r="G25"/>
  <c r="L25" s="1"/>
  <c r="N24"/>
  <c r="M24"/>
  <c r="K24"/>
  <c r="G24"/>
  <c r="L24"/>
  <c r="O24" s="1"/>
  <c r="N23"/>
  <c r="M23"/>
  <c r="K23"/>
  <c r="G23"/>
  <c r="L23" s="1"/>
  <c r="O23" s="1"/>
  <c r="N22"/>
  <c r="M22"/>
  <c r="K22"/>
  <c r="G22"/>
  <c r="L22" s="1"/>
  <c r="N21"/>
  <c r="M21"/>
  <c r="K21"/>
  <c r="G21"/>
  <c r="J21" s="1"/>
  <c r="N20"/>
  <c r="M20"/>
  <c r="K20"/>
  <c r="G20"/>
  <c r="L20"/>
  <c r="O20" s="1"/>
  <c r="N19"/>
  <c r="M19"/>
  <c r="L19"/>
  <c r="O19" s="1"/>
  <c r="K19"/>
  <c r="G19"/>
  <c r="J19"/>
  <c r="N18"/>
  <c r="M18"/>
  <c r="K18"/>
  <c r="G18"/>
  <c r="J18" s="1"/>
  <c r="N17"/>
  <c r="M17"/>
  <c r="L17"/>
  <c r="K17"/>
  <c r="J17"/>
  <c r="N16"/>
  <c r="M16"/>
  <c r="L16"/>
  <c r="O16" s="1"/>
  <c r="K16"/>
  <c r="G16"/>
  <c r="J16"/>
  <c r="N15"/>
  <c r="M15"/>
  <c r="K15"/>
  <c r="G15"/>
  <c r="J15" s="1"/>
  <c r="N14"/>
  <c r="M14"/>
  <c r="K14"/>
  <c r="G14"/>
  <c r="J14" s="1"/>
  <c r="N13"/>
  <c r="M13"/>
  <c r="K13"/>
  <c r="G13"/>
  <c r="L13" s="1"/>
  <c r="O13" s="1"/>
  <c r="N12"/>
  <c r="M12"/>
  <c r="K12"/>
  <c r="G12"/>
  <c r="L12" s="1"/>
  <c r="I13" i="62"/>
  <c r="N13"/>
  <c r="H13"/>
  <c r="M13"/>
  <c r="G13"/>
  <c r="L13"/>
  <c r="I16"/>
  <c r="J16"/>
  <c r="H16"/>
  <c r="M16"/>
  <c r="G16"/>
  <c r="L16"/>
  <c r="K16"/>
  <c r="K19"/>
  <c r="N18"/>
  <c r="M18"/>
  <c r="L18"/>
  <c r="O18"/>
  <c r="K18"/>
  <c r="J18"/>
  <c r="K13"/>
  <c r="D27" i="44"/>
  <c r="A29"/>
  <c r="D32"/>
  <c r="N16" i="62"/>
  <c r="O16"/>
  <c r="M19"/>
  <c r="L19"/>
  <c r="J13"/>
  <c r="O13"/>
  <c r="O19"/>
  <c r="L8"/>
  <c r="N19"/>
  <c r="L13" i="69"/>
  <c r="L16"/>
  <c r="O16"/>
  <c r="L13" i="68"/>
  <c r="O13" i="67"/>
  <c r="O25"/>
  <c r="L8"/>
  <c r="L25"/>
  <c r="O13" i="66"/>
  <c r="M40"/>
  <c r="O16"/>
  <c r="J21"/>
  <c r="L30"/>
  <c r="O30"/>
  <c r="L31"/>
  <c r="O31"/>
  <c r="O14" i="65"/>
  <c r="L130"/>
  <c r="O130"/>
  <c r="J130"/>
  <c r="L147"/>
  <c r="O147"/>
  <c r="J147"/>
  <c r="L151"/>
  <c r="O151"/>
  <c r="J151"/>
  <c r="L155"/>
  <c r="O155"/>
  <c r="J155"/>
  <c r="L159"/>
  <c r="O159"/>
  <c r="J159"/>
  <c r="J186"/>
  <c r="L186"/>
  <c r="O186"/>
  <c r="J219"/>
  <c r="L219"/>
  <c r="O219"/>
  <c r="L242"/>
  <c r="O242"/>
  <c r="J242"/>
  <c r="K377"/>
  <c r="L17"/>
  <c r="O17"/>
  <c r="J18"/>
  <c r="O30"/>
  <c r="L33"/>
  <c r="O33"/>
  <c r="J34"/>
  <c r="L46"/>
  <c r="O46"/>
  <c r="J46"/>
  <c r="L62"/>
  <c r="O62"/>
  <c r="J62"/>
  <c r="L79"/>
  <c r="O79"/>
  <c r="J79"/>
  <c r="L96"/>
  <c r="O96"/>
  <c r="J96"/>
  <c r="L112"/>
  <c r="O112"/>
  <c r="J112"/>
  <c r="L118"/>
  <c r="O118"/>
  <c r="J118"/>
  <c r="O123"/>
  <c r="L134"/>
  <c r="O134"/>
  <c r="J134"/>
  <c r="O140"/>
  <c r="J194"/>
  <c r="L194"/>
  <c r="O194"/>
  <c r="L259"/>
  <c r="O259"/>
  <c r="J259"/>
  <c r="L264"/>
  <c r="O264"/>
  <c r="J264"/>
  <c r="L92"/>
  <c r="O92"/>
  <c r="J92"/>
  <c r="L16"/>
  <c r="O16"/>
  <c r="L29"/>
  <c r="O29"/>
  <c r="L50"/>
  <c r="O50"/>
  <c r="J50"/>
  <c r="L66"/>
  <c r="O66"/>
  <c r="J66"/>
  <c r="L83"/>
  <c r="O83"/>
  <c r="J83"/>
  <c r="L100"/>
  <c r="O100"/>
  <c r="J100"/>
  <c r="L122"/>
  <c r="O122"/>
  <c r="J122"/>
  <c r="O127"/>
  <c r="L138"/>
  <c r="O138"/>
  <c r="J138"/>
  <c r="O144"/>
  <c r="J168"/>
  <c r="L168"/>
  <c r="O168"/>
  <c r="J202"/>
  <c r="L202"/>
  <c r="O202"/>
  <c r="L298"/>
  <c r="O298"/>
  <c r="J298"/>
  <c r="L42"/>
  <c r="O42"/>
  <c r="J42"/>
  <c r="L58"/>
  <c r="O58"/>
  <c r="J58"/>
  <c r="L75"/>
  <c r="O75"/>
  <c r="J75"/>
  <c r="L108"/>
  <c r="O108"/>
  <c r="J108"/>
  <c r="N377"/>
  <c r="O22"/>
  <c r="O25"/>
  <c r="J26"/>
  <c r="L38"/>
  <c r="O38"/>
  <c r="J38"/>
  <c r="L54"/>
  <c r="O54"/>
  <c r="J54"/>
  <c r="L71"/>
  <c r="O71"/>
  <c r="J71"/>
  <c r="L88"/>
  <c r="O88"/>
  <c r="J88"/>
  <c r="L104"/>
  <c r="O104"/>
  <c r="J104"/>
  <c r="L126"/>
  <c r="O126"/>
  <c r="J126"/>
  <c r="L143"/>
  <c r="O143"/>
  <c r="J143"/>
  <c r="J178"/>
  <c r="L178"/>
  <c r="O178"/>
  <c r="J210"/>
  <c r="L210"/>
  <c r="O210"/>
  <c r="L225"/>
  <c r="O225"/>
  <c r="J225"/>
  <c r="L106"/>
  <c r="O106"/>
  <c r="L110"/>
  <c r="O110"/>
  <c r="L114"/>
  <c r="O114"/>
  <c r="L120"/>
  <c r="O120"/>
  <c r="L124"/>
  <c r="O124"/>
  <c r="L128"/>
  <c r="O128"/>
  <c r="L132"/>
  <c r="O132"/>
  <c r="L136"/>
  <c r="O136"/>
  <c r="L141"/>
  <c r="O141"/>
  <c r="L145"/>
  <c r="O145"/>
  <c r="L149"/>
  <c r="O149"/>
  <c r="L153"/>
  <c r="O153"/>
  <c r="L157"/>
  <c r="O157"/>
  <c r="L166"/>
  <c r="O166"/>
  <c r="J166"/>
  <c r="L176"/>
  <c r="O176"/>
  <c r="J176"/>
  <c r="L184"/>
  <c r="O184"/>
  <c r="J184"/>
  <c r="L192"/>
  <c r="O192"/>
  <c r="J192"/>
  <c r="L200"/>
  <c r="O200"/>
  <c r="J200"/>
  <c r="L208"/>
  <c r="O208"/>
  <c r="J208"/>
  <c r="L216"/>
  <c r="O216"/>
  <c r="J216"/>
  <c r="L229"/>
  <c r="O229"/>
  <c r="J229"/>
  <c r="L246"/>
  <c r="O246"/>
  <c r="J246"/>
  <c r="L274"/>
  <c r="O274"/>
  <c r="J274"/>
  <c r="L306"/>
  <c r="O306"/>
  <c r="J306"/>
  <c r="L336"/>
  <c r="O336"/>
  <c r="J336"/>
  <c r="J164"/>
  <c r="L164"/>
  <c r="O164"/>
  <c r="O165"/>
  <c r="J174"/>
  <c r="L174"/>
  <c r="O174"/>
  <c r="O175"/>
  <c r="J182"/>
  <c r="L182"/>
  <c r="O182"/>
  <c r="O183"/>
  <c r="J190"/>
  <c r="L190"/>
  <c r="O190"/>
  <c r="O191"/>
  <c r="J198"/>
  <c r="L198"/>
  <c r="O198"/>
  <c r="O199"/>
  <c r="J206"/>
  <c r="L206"/>
  <c r="O206"/>
  <c r="O207"/>
  <c r="J214"/>
  <c r="L214"/>
  <c r="O214"/>
  <c r="O215"/>
  <c r="O222"/>
  <c r="L234"/>
  <c r="O234"/>
  <c r="J234"/>
  <c r="O239"/>
  <c r="L250"/>
  <c r="O250"/>
  <c r="J250"/>
  <c r="O256"/>
  <c r="L282"/>
  <c r="O282"/>
  <c r="J282"/>
  <c r="L315"/>
  <c r="O315"/>
  <c r="J315"/>
  <c r="L162"/>
  <c r="O162"/>
  <c r="J162"/>
  <c r="O163"/>
  <c r="L170"/>
  <c r="O170"/>
  <c r="J170"/>
  <c r="O173"/>
  <c r="L180"/>
  <c r="O180"/>
  <c r="J180"/>
  <c r="O181"/>
  <c r="L188"/>
  <c r="O188"/>
  <c r="J188"/>
  <c r="O189"/>
  <c r="L196"/>
  <c r="O196"/>
  <c r="J196"/>
  <c r="O197"/>
  <c r="L204"/>
  <c r="O204"/>
  <c r="J204"/>
  <c r="O205"/>
  <c r="L212"/>
  <c r="O212"/>
  <c r="J212"/>
  <c r="O213"/>
  <c r="L221"/>
  <c r="O221"/>
  <c r="J221"/>
  <c r="O226"/>
  <c r="L238"/>
  <c r="O238"/>
  <c r="J238"/>
  <c r="O243"/>
  <c r="L255"/>
  <c r="O255"/>
  <c r="J255"/>
  <c r="L290"/>
  <c r="O290"/>
  <c r="J290"/>
  <c r="L324"/>
  <c r="O324"/>
  <c r="J324"/>
  <c r="L348"/>
  <c r="O348"/>
  <c r="J348"/>
  <c r="L223"/>
  <c r="O223"/>
  <c r="L227"/>
  <c r="O227"/>
  <c r="L231"/>
  <c r="O231"/>
  <c r="L236"/>
  <c r="O236"/>
  <c r="L240"/>
  <c r="O240"/>
  <c r="L244"/>
  <c r="O244"/>
  <c r="L248"/>
  <c r="O248"/>
  <c r="L252"/>
  <c r="O252"/>
  <c r="L257"/>
  <c r="O257"/>
  <c r="J262"/>
  <c r="L262"/>
  <c r="O262"/>
  <c r="J270"/>
  <c r="L270"/>
  <c r="O270"/>
  <c r="J280"/>
  <c r="L280"/>
  <c r="O280"/>
  <c r="J288"/>
  <c r="L288"/>
  <c r="O288"/>
  <c r="J296"/>
  <c r="L296"/>
  <c r="O296"/>
  <c r="J304"/>
  <c r="L304"/>
  <c r="O304"/>
  <c r="J313"/>
  <c r="L313"/>
  <c r="O313"/>
  <c r="J322"/>
  <c r="L322"/>
  <c r="O322"/>
  <c r="L341"/>
  <c r="O341"/>
  <c r="J341"/>
  <c r="L352"/>
  <c r="O352"/>
  <c r="J352"/>
  <c r="L260"/>
  <c r="O260"/>
  <c r="J260"/>
  <c r="O261"/>
  <c r="L268"/>
  <c r="O268"/>
  <c r="J268"/>
  <c r="O269"/>
  <c r="L278"/>
  <c r="O278"/>
  <c r="J278"/>
  <c r="O279"/>
  <c r="L286"/>
  <c r="O286"/>
  <c r="J286"/>
  <c r="O287"/>
  <c r="L294"/>
  <c r="O294"/>
  <c r="J294"/>
  <c r="O295"/>
  <c r="L302"/>
  <c r="O302"/>
  <c r="J302"/>
  <c r="O303"/>
  <c r="L311"/>
  <c r="O311"/>
  <c r="J311"/>
  <c r="O312"/>
  <c r="L320"/>
  <c r="O320"/>
  <c r="J320"/>
  <c r="O321"/>
  <c r="L328"/>
  <c r="O328"/>
  <c r="J328"/>
  <c r="O333"/>
  <c r="O345"/>
  <c r="J266"/>
  <c r="L266"/>
  <c r="O266"/>
  <c r="O267"/>
  <c r="J276"/>
  <c r="L276"/>
  <c r="O276"/>
  <c r="O277"/>
  <c r="J284"/>
  <c r="L284"/>
  <c r="O284"/>
  <c r="O285"/>
  <c r="J292"/>
  <c r="L292"/>
  <c r="O292"/>
  <c r="O293"/>
  <c r="J300"/>
  <c r="L300"/>
  <c r="O300"/>
  <c r="O301"/>
  <c r="J308"/>
  <c r="L308"/>
  <c r="O308"/>
  <c r="O310"/>
  <c r="J317"/>
  <c r="L317"/>
  <c r="O317"/>
  <c r="O318"/>
  <c r="L332"/>
  <c r="O332"/>
  <c r="J332"/>
  <c r="O337"/>
  <c r="L344"/>
  <c r="O344"/>
  <c r="J344"/>
  <c r="O349"/>
  <c r="O356"/>
  <c r="O370"/>
  <c r="L326"/>
  <c r="O326"/>
  <c r="L330"/>
  <c r="O330"/>
  <c r="L334"/>
  <c r="O334"/>
  <c r="L338"/>
  <c r="O338"/>
  <c r="L343"/>
  <c r="L346"/>
  <c r="O346"/>
  <c r="L350"/>
  <c r="O350"/>
  <c r="L357"/>
  <c r="O357"/>
  <c r="L363"/>
  <c r="O363"/>
  <c r="L364"/>
  <c r="O364"/>
  <c r="L365"/>
  <c r="O365"/>
  <c r="L366"/>
  <c r="O366"/>
  <c r="L367"/>
  <c r="O367"/>
  <c r="L368"/>
  <c r="M368"/>
  <c r="M377"/>
  <c r="O13" i="64"/>
  <c r="J31"/>
  <c r="J35"/>
  <c r="J39"/>
  <c r="L18"/>
  <c r="O18"/>
  <c r="L19"/>
  <c r="O19"/>
  <c r="L20"/>
  <c r="O20"/>
  <c r="J24"/>
  <c r="J27"/>
  <c r="J20" i="63"/>
  <c r="J24"/>
  <c r="J29"/>
  <c r="J39"/>
  <c r="J44"/>
  <c r="J54"/>
  <c r="J59"/>
  <c r="L67"/>
  <c r="J69"/>
  <c r="L71"/>
  <c r="O71" s="1"/>
  <c r="J74"/>
  <c r="L83"/>
  <c r="M86"/>
  <c r="M87"/>
  <c r="O13" i="69"/>
  <c r="L21"/>
  <c r="O13" i="68"/>
  <c r="O23"/>
  <c r="D17" i="44"/>
  <c r="L23" i="68"/>
  <c r="L40" i="66"/>
  <c r="O368" i="65"/>
  <c r="O377"/>
  <c r="L8"/>
  <c r="L377"/>
  <c r="L49" i="64"/>
  <c r="O49"/>
  <c r="L7"/>
  <c r="D19" i="44"/>
  <c r="L8" i="68"/>
  <c r="D16" i="44"/>
  <c r="D18"/>
  <c r="O40" i="66"/>
  <c r="L8"/>
  <c r="N40"/>
  <c r="D15" i="44"/>
  <c r="O69" i="63" l="1"/>
  <c r="L14"/>
  <c r="O14" s="1"/>
  <c r="L30"/>
  <c r="O30" s="1"/>
  <c r="L36"/>
  <c r="O36" s="1"/>
  <c r="L51"/>
  <c r="O51" s="1"/>
  <c r="L64"/>
  <c r="O64" s="1"/>
  <c r="O91"/>
  <c r="O94"/>
  <c r="Q94" s="1"/>
  <c r="O98"/>
  <c r="Q98" s="1"/>
  <c r="O67"/>
  <c r="J49"/>
  <c r="J12"/>
  <c r="J22"/>
  <c r="J23"/>
  <c r="J25"/>
  <c r="O29"/>
  <c r="J42"/>
  <c r="J75"/>
  <c r="O77"/>
  <c r="K82"/>
  <c r="K99" s="1"/>
  <c r="N84"/>
  <c r="O84" s="1"/>
  <c r="L85"/>
  <c r="L27"/>
  <c r="O27" s="1"/>
  <c r="O39"/>
  <c r="N82"/>
  <c r="O95"/>
  <c r="J78"/>
  <c r="J35"/>
  <c r="J13"/>
  <c r="O17"/>
  <c r="O22"/>
  <c r="O25"/>
  <c r="O28"/>
  <c r="L32"/>
  <c r="O32" s="1"/>
  <c r="O42"/>
  <c r="J53"/>
  <c r="O54"/>
  <c r="O55"/>
  <c r="O68"/>
  <c r="J72"/>
  <c r="O74"/>
  <c r="O75"/>
  <c r="L82"/>
  <c r="O82" s="1"/>
  <c r="K84"/>
  <c r="O89"/>
  <c r="O92"/>
  <c r="O93"/>
  <c r="S93" s="1"/>
  <c r="O96"/>
  <c r="Q96" s="1"/>
  <c r="O97"/>
  <c r="S91"/>
  <c r="Q91"/>
  <c r="S95"/>
  <c r="Q95"/>
  <c r="S92"/>
  <c r="Q92"/>
  <c r="Q93"/>
  <c r="S97"/>
  <c r="Q97"/>
  <c r="L61"/>
  <c r="O61" s="1"/>
  <c r="L63"/>
  <c r="O63" s="1"/>
  <c r="L81"/>
  <c r="O81" s="1"/>
  <c r="L62"/>
  <c r="O62" s="1"/>
  <c r="L15"/>
  <c r="O15" s="1"/>
  <c r="L18"/>
  <c r="O18" s="1"/>
  <c r="L37"/>
  <c r="O37" s="1"/>
  <c r="L41"/>
  <c r="O41" s="1"/>
  <c r="M83"/>
  <c r="M85"/>
  <c r="O85" s="1"/>
  <c r="J87"/>
  <c r="L76"/>
  <c r="O76" s="1"/>
  <c r="L56"/>
  <c r="O56" s="1"/>
  <c r="J38"/>
  <c r="J65"/>
  <c r="J68"/>
  <c r="J82"/>
  <c r="N83"/>
  <c r="N99" s="1"/>
  <c r="J84"/>
  <c r="N85"/>
  <c r="J86"/>
  <c r="J89"/>
  <c r="L43"/>
  <c r="O43" s="1"/>
  <c r="L79"/>
  <c r="O79" s="1"/>
  <c r="L21"/>
  <c r="O21" s="1"/>
  <c r="H16" i="44"/>
  <c r="J16"/>
  <c r="H17"/>
  <c r="J17"/>
  <c r="J14"/>
  <c r="H14"/>
  <c r="K14" s="1"/>
  <c r="M14" s="1"/>
  <c r="J19"/>
  <c r="H19"/>
  <c r="K19" s="1"/>
  <c r="M19" s="1"/>
  <c r="H15"/>
  <c r="J15"/>
  <c r="J18"/>
  <c r="H18"/>
  <c r="K18" s="1"/>
  <c r="M18" s="1"/>
  <c r="H13"/>
  <c r="J13"/>
  <c r="K13" l="1"/>
  <c r="M13" s="1"/>
  <c r="K17"/>
  <c r="M17" s="1"/>
  <c r="K15"/>
  <c r="M15" s="1"/>
  <c r="K16"/>
  <c r="M16" s="1"/>
  <c r="O83" i="63"/>
  <c r="V95"/>
  <c r="V91"/>
  <c r="S96"/>
  <c r="V96" s="1"/>
  <c r="S98"/>
  <c r="V98" s="1"/>
  <c r="S94"/>
  <c r="M99"/>
  <c r="V93"/>
  <c r="L99"/>
  <c r="V97"/>
  <c r="V94"/>
  <c r="O99"/>
  <c r="V92"/>
  <c r="D12" i="44" l="1"/>
  <c r="L7" i="63"/>
  <c r="D20" i="44" l="1"/>
  <c r="J12"/>
  <c r="H12"/>
  <c r="K12" l="1"/>
  <c r="M12" s="1"/>
  <c r="H20"/>
  <c r="D23"/>
  <c r="D21"/>
  <c r="D22" s="1"/>
  <c r="J20"/>
  <c r="K20" l="1"/>
  <c r="M20" s="1"/>
  <c r="D24"/>
  <c r="F15" i="45" l="1"/>
  <c r="F16" s="1"/>
  <c r="F17" s="1"/>
  <c r="F18" s="1"/>
  <c r="F24" i="44"/>
</calcChain>
</file>

<file path=xl/sharedStrings.xml><?xml version="1.0" encoding="utf-8"?>
<sst xmlns="http://schemas.openxmlformats.org/spreadsheetml/2006/main" count="1789" uniqueCount="476">
  <si>
    <t>Nr. p.k.</t>
  </si>
  <si>
    <t>Darbu apraksts vai materiālu nosaukums</t>
  </si>
  <si>
    <t>Mērvienība</t>
  </si>
  <si>
    <t>Daudzums</t>
  </si>
  <si>
    <t>Objekta nosaukums</t>
  </si>
  <si>
    <t>Būves nosaukums</t>
  </si>
  <si>
    <t>Tāmes izmaksas</t>
  </si>
  <si>
    <t>euro</t>
  </si>
  <si>
    <t>Nr.p.k.</t>
  </si>
  <si>
    <t>Vienības izmaksas</t>
  </si>
  <si>
    <t>Kopā uz visu apjomu</t>
  </si>
  <si>
    <t>laika norma (c/h)</t>
  </si>
  <si>
    <t>Darba samaksas likme (EUR/c.h)</t>
  </si>
  <si>
    <t>Materiāli (EUR)</t>
  </si>
  <si>
    <t>Mehānismi (EUR)</t>
  </si>
  <si>
    <t>Kopā (EUR)</t>
  </si>
  <si>
    <t>Darbietilpība (c/h)</t>
  </si>
  <si>
    <t>Darba alga (EUR)</t>
  </si>
  <si>
    <t>Summa (EUR)</t>
  </si>
  <si>
    <t>Tiešās izmaksas kopā, t.sk. darba devēja sociālais nodoklis (24,09%)</t>
  </si>
  <si>
    <t>Sastādīja</t>
  </si>
  <si>
    <t>______________________________</t>
  </si>
  <si>
    <t>Jānis Sprincis</t>
  </si>
  <si>
    <t>(paraksts un tā atšifrējums, datums)</t>
  </si>
  <si>
    <t>Pārbaudīja</t>
  </si>
  <si>
    <t>Vilnis Krēsliņš</t>
  </si>
  <si>
    <t>Kopsavilkuma aprēķins</t>
  </si>
  <si>
    <t xml:space="preserve">Būvdarbu veids vai konstruktīvā elementa nosaukums </t>
  </si>
  <si>
    <t>Kopā</t>
  </si>
  <si>
    <t>t.sk. darba aizsardzība</t>
  </si>
  <si>
    <t>Pavisam kopā līgumcena bez PVN</t>
  </si>
  <si>
    <t>Z.v.</t>
  </si>
  <si>
    <t>Objekta izmaksas (euro)</t>
  </si>
  <si>
    <t>PVN 21 %</t>
  </si>
  <si>
    <t xml:space="preserve">Sastādīja: </t>
  </si>
  <si>
    <t>Peļņa (5%)</t>
  </si>
  <si>
    <t>Virsizdevumi (12%)</t>
  </si>
  <si>
    <t>Kopā bez PVN</t>
  </si>
  <si>
    <t>Kopā ar PVN</t>
  </si>
  <si>
    <t>1</t>
  </si>
  <si>
    <t>RLB nama telpu restaurēšanas/atjaunošanas darbi</t>
  </si>
  <si>
    <t>RLB nama  telpu restaurēšanas/atjaunošanas darbi</t>
  </si>
  <si>
    <t>Projekta vadība, būvuzraudzība, autoruzraudzība</t>
  </si>
  <si>
    <t>Citi darbi</t>
  </si>
  <si>
    <t>mēn</t>
  </si>
  <si>
    <t>Izmaksu aplēses</t>
  </si>
  <si>
    <t>Izmaksu aplēses sastādīta 2019.gada tirgus cenās, pamatojoties uz līdzīgu darbu veidu, objektu izmaksām</t>
  </si>
  <si>
    <t>Telpu restaurācijas darbi</t>
  </si>
  <si>
    <t>kompl.</t>
  </si>
  <si>
    <t>8.Kārta</t>
  </si>
  <si>
    <t>Lielās zāles interjera atjaunošana, Lielās zāles foajē restaurācija (AB). Lielās zāles labās un kreisās puses kāpņu telpas stetizācija, logu vitrāžu restaurācija. Lielās zāles skatuves un šņorbēniņu pārbūve atbilstoši ugunsdrošības noteikumiem. Lielās zāles un balkona estetizācija</t>
  </si>
  <si>
    <t xml:space="preserve">Saimniecības telpu remonts (CD) </t>
  </si>
  <si>
    <t>Kāpņu telpu, palīgtelpu remonts. 1-5 stāvs CD korpuss</t>
  </si>
  <si>
    <t>LT - 8</t>
  </si>
  <si>
    <t>LT - 1</t>
  </si>
  <si>
    <t>LT - 2</t>
  </si>
  <si>
    <t>LT - 3</t>
  </si>
  <si>
    <t>LT - 4</t>
  </si>
  <si>
    <t>LT - 5</t>
  </si>
  <si>
    <t>LT - 6</t>
  </si>
  <si>
    <t>LT - 7</t>
  </si>
  <si>
    <t>1.Kārta</t>
  </si>
  <si>
    <t>2.Kārta</t>
  </si>
  <si>
    <t>3.Kārta</t>
  </si>
  <si>
    <t>4.Kārta</t>
  </si>
  <si>
    <t>5.Kārta</t>
  </si>
  <si>
    <t>6.Kārta</t>
  </si>
  <si>
    <t>7.Kārta</t>
  </si>
  <si>
    <t>Pamatu hidroizolācija</t>
  </si>
  <si>
    <t>Rakšanas atļaujas, inženierkomunikāciju atrakšana</t>
  </si>
  <si>
    <t>obj</t>
  </si>
  <si>
    <t>2</t>
  </si>
  <si>
    <t>Grunts atrakšana no pamtiem ēkas ārpusē</t>
  </si>
  <si>
    <t>m3</t>
  </si>
  <si>
    <t>3</t>
  </si>
  <si>
    <t>Pamatu vertikālā hidroizolācija ar bitumena mastiku no ārpuses 2 reizes</t>
  </si>
  <si>
    <t>m2</t>
  </si>
  <si>
    <t>4</t>
  </si>
  <si>
    <t>Pamatu apmetuma remonts no ārpuses atsevišķās vietās</t>
  </si>
  <si>
    <t>5</t>
  </si>
  <si>
    <r>
      <t xml:space="preserve">Urbumi pamatos </t>
    </r>
    <r>
      <rPr>
        <sz val="12"/>
        <color indexed="8"/>
        <rFont val="Arial Narrow"/>
        <family val="2"/>
        <charset val="186"/>
      </rPr>
      <t>Ø</t>
    </r>
    <r>
      <rPr>
        <sz val="12"/>
        <color indexed="8"/>
        <rFont val="Times New Roman"/>
        <family val="1"/>
        <charset val="186"/>
      </rPr>
      <t xml:space="preserve"> 25mm solis 200 mm, dziļums līdz 800 mm, no ārpuses virszemes cokoldaļā</t>
    </r>
  </si>
  <si>
    <t>gab</t>
  </si>
  <si>
    <t>6</t>
  </si>
  <si>
    <t>Pamatu horizontālā hidroizolācija ar injekciju metodi no ārpuses</t>
  </si>
  <si>
    <t>m</t>
  </si>
  <si>
    <t>7</t>
  </si>
  <si>
    <t>Urbumi pamatos Ø 25mm solis 200 mm, dziļums līdz 800 mm no pagraba puses ārsienām zem griestiem</t>
  </si>
  <si>
    <t>8</t>
  </si>
  <si>
    <t>Pamatu horizontālā hidroizolācija ar injekciju metodi no pagraba puses ārsienām</t>
  </si>
  <si>
    <t>9</t>
  </si>
  <si>
    <t>Urbumi pamatos Ø 25 mm, solis 200 mm pagraba nesošajām starpsienām grīdas līmenī, dziļumā līdz 600 mm</t>
  </si>
  <si>
    <t>10</t>
  </si>
  <si>
    <t>Pamatu horizontālā hidroizolācija ar injekciju metodi nesošajām pagraba starpsienām</t>
  </si>
  <si>
    <t>11</t>
  </si>
  <si>
    <t>Esošā apmetuma demontāža pagrabu telpu ārsienām</t>
  </si>
  <si>
    <t>12</t>
  </si>
  <si>
    <t>Hidroizolējošs sanējošais apmetums ''Mapei'' ar stiklašķiedras sieta armējumu, biezumā līdz 15 mm</t>
  </si>
  <si>
    <t>13</t>
  </si>
  <si>
    <t>Sienu špaktelēšana un slīpēšana ar špakteli uz cementa bāzes</t>
  </si>
  <si>
    <t>14</t>
  </si>
  <si>
    <t>Apmesto sienu krāsošana ar tonētu kaļķa krāsu</t>
  </si>
  <si>
    <t>Telpa 001-189</t>
  </si>
  <si>
    <t xml:space="preserve">Papildus logailas izbūve 1.0x1.0 m </t>
  </si>
  <si>
    <t>Loga montāža 1.0x1.0 m</t>
  </si>
  <si>
    <t>Papildus ventilācija</t>
  </si>
  <si>
    <t>kpl</t>
  </si>
  <si>
    <t>Durvju krāsojuma noņemšana, špaktelēšana, slīpēšana, krāsošana no abām pusēm 2x</t>
  </si>
  <si>
    <t>Telpa 001-192</t>
  </si>
  <si>
    <t>Papildus ventilācijas izbūve</t>
  </si>
  <si>
    <t>Telpas 001-193; 194; 195; 196; 197;198</t>
  </si>
  <si>
    <t>Griestu gruntēšana, špaktelēšana, slīpēšana</t>
  </si>
  <si>
    <t>Griestu gruntēšana, krāsošana 2x</t>
  </si>
  <si>
    <t>Sienu gruntēšana, špaktelēšana, slīpēšana</t>
  </si>
  <si>
    <t>Sienu gruntēšana, krāsošana 2x</t>
  </si>
  <si>
    <t>Telpas 001-199; 205; 901-54; 002-29;31</t>
  </si>
  <si>
    <t>Telpas 001-200; 201; 202; 203; 204</t>
  </si>
  <si>
    <t>Telpas Nr. 007-9;10</t>
  </si>
  <si>
    <t>Telpa Nr. 007-11</t>
  </si>
  <si>
    <t>Telpas Nr. 901-48;49;50</t>
  </si>
  <si>
    <t>Telpa Nr. 901-51</t>
  </si>
  <si>
    <t>Parketa slīpēšana, vaskošana</t>
  </si>
  <si>
    <t>Talpas Nr. 901-53;57</t>
  </si>
  <si>
    <t>Grīdas atjaunošana(koka dēļu) un krāsošana</t>
  </si>
  <si>
    <t>Vēsturiskā grīdas līmeņa atjaunošana, kultūrslāņa norakšana, hidroizolācijas izveide grīdai</t>
  </si>
  <si>
    <t>Esošās betona grīdas demontāža</t>
  </si>
  <si>
    <t>Betona grīdas utilizācija</t>
  </si>
  <si>
    <t>Grunts slāņa izrakšana, utilizācija</t>
  </si>
  <si>
    <t>Šķembu pabērums 100 mm</t>
  </si>
  <si>
    <t>Hidroizolācija izveide zem grīdas</t>
  </si>
  <si>
    <t>Siltumizolācijas izveide zem grīdas</t>
  </si>
  <si>
    <t>Betonēšana 100 mm + armatūras siets 5x150x150 mm</t>
  </si>
  <si>
    <t>Pagraba pārsegumu pastiprināšana</t>
  </si>
  <si>
    <t>Pārsegumu pastiprināšana ar metāla sijām</t>
  </si>
  <si>
    <t>Ēkas energoaudits</t>
  </si>
  <si>
    <t>Inženiertīklu pārbūve pagrabā. Fiziski nokalpojušo inženiertīklu (ŪK, LK, Apkure, EL, ESS) pārbūve, piespiedu gaisa apmaiņas ierīkošana</t>
  </si>
  <si>
    <t>kompl</t>
  </si>
  <si>
    <t>AMI veikšana 2.kārtas restaurācijas darbiem</t>
  </si>
  <si>
    <t>Biedrības vēsturisko materiālu izpēte,  1.kārta (3 pētnieki)</t>
  </si>
  <si>
    <t>Arhīvu materiālu digitalizācija 500 datnes</t>
  </si>
  <si>
    <t>Bierības nama vēsturisko ekspozīciju veidošana</t>
  </si>
  <si>
    <t>Būvprojekta izstrāde, BP ekspertīze (1.; 2.kārta)</t>
  </si>
  <si>
    <t>Fasādes atjaunošana</t>
  </si>
  <si>
    <t>1. Fasādes metāla sastatnes, platums 1,05 m, posma garums 2,5 m ar montāžu un demontāžu, ar aizsargsietu</t>
  </si>
  <si>
    <t>mēnesī</t>
  </si>
  <si>
    <t>2. Virsmu attīra no vecā krāsojuma</t>
  </si>
  <si>
    <t>3. Uzstāda aizsargplēvi (0,2 mm) logiem, un dekoratīviem elementiem</t>
  </si>
  <si>
    <t>4. Fasādes virsmu gruntē ar Tiefgrund TB vai ekvivalentu; atbirums gruntij ieskaitīts 2,5 %, nolietojums - 0,5 % no DA</t>
  </si>
  <si>
    <t>5. Fasādes virsmu špaktelē ar Capalith Fassadenspachtel P vai ekvivalentu; nolietojums - 0,5 % no DA</t>
  </si>
  <si>
    <t>6. Taisnas karnīzes un logu ailes špaktelē ar Capalith Fassadenspachtel P vai ekvivalentu un Capalith Fassaden-Feinspachtel P vai ekvivalentu, nolietojums - 0,5 % no DA</t>
  </si>
  <si>
    <t>7. Fasādi krāso (2x) ar silikātkrāsu Capamix AmphiSilan Basis 1 vai ekvivalentu; atbirums krāsai ieskaitīts 2,5 %, nolietojums - 0,5 % no DA</t>
  </si>
  <si>
    <t>Brandmūru siltināšana, apdare ar dekoratīvo apmetumu</t>
  </si>
  <si>
    <t xml:space="preserve">Logu un durvju restaurācija/nomaiņa </t>
  </si>
  <si>
    <t>Ēkas bojāto koka logu nomaiņa, restaurācija (pēc iespējas saglabājot vēsturiskos koka logus. Ailu iekšējās apdares atjaunošana. Energoefektivitātes paaugstināšana logiem, durvīm). Vārtu atjaunošana</t>
  </si>
  <si>
    <t>Jumta seguma restaurācija vai nomaiņa</t>
  </si>
  <si>
    <t>Jumta seguma klājs vara skārds</t>
  </si>
  <si>
    <t>Latojuma izbūve (neēvelēta koks šķērsbrusa 100x28mm, solis 450 mm, neēvelēta koka lata 50x22mm, solis 1862.5mm)</t>
  </si>
  <si>
    <t>Antikondensāta plēve</t>
  </si>
  <si>
    <t>'Zaļā'' jumta siltināta konstrukcija - augsne 200mm, filtrējošs ģeotekstils, floredrains FD25-25mm, drenāžas paklājs SSM-25mm, hidroizolācija - 1.5mm, putu polistirols 100 mm</t>
  </si>
  <si>
    <t>Lūka siltināta uz jumta 600x950 mm LU1/UG2</t>
  </si>
  <si>
    <t>Horizontālās lietus ūdens savākšanas renes, d=150mm ar stiprinājuma āķiem</t>
  </si>
  <si>
    <t>Vara tekne 150mm</t>
  </si>
  <si>
    <t>Teknes āki</t>
  </si>
  <si>
    <t>gb</t>
  </si>
  <si>
    <t>Lietusūdenssavākšanas stāvvadi, d=100 mm, ar ūdenssavākšanas piltuvi, līkumiem, revīziju, stiprinājumu āķiem, kronšteiniem</t>
  </si>
  <si>
    <t>Dūmeņu virsjumta daļā atjaunošana</t>
  </si>
  <si>
    <t>Esošo virsgaismas pagalmu nosegšana ar stiklotu jumta konstrukciju</t>
  </si>
  <si>
    <t>Esošās jumta konstrukcijas pastiprināšana (B korp), protezēšana</t>
  </si>
  <si>
    <t>Ugunsaizsardzība un antiseptēšana, uzklāj ar otu; 1. ugunsaizsardzības grupa (Ēkas koka konstrukcijas, t.sk. Skatuves daļa)</t>
  </si>
  <si>
    <t>Bēniņu siltināšana</t>
  </si>
  <si>
    <t>1. Iestrādā slīpā virsmā ar mehānismu celulozes siltumizolācijas materiālu EKOVATE (45 kg/m3, 0,039 - 0,041 w/mK) vai ekvivalentu, b = 400 mm</t>
  </si>
  <si>
    <t>2. Dēļu klājs virs bēniņu siltinājuma b = 38 mm  izbūve</t>
  </si>
  <si>
    <t>3. Ugunsaizsardzība un antiseptēšana uzklātajamdēļu klājam</t>
  </si>
  <si>
    <t>AMI veikšana 3.kārtas restaurācijas darbiem</t>
  </si>
  <si>
    <t>Biedrības vēsturisko materiālu izpēte,  2.kārta (3 pētnieki)</t>
  </si>
  <si>
    <t>Interaktīvā materiāla izveide (digitālā muzeja izveide)</t>
  </si>
  <si>
    <t>Būvprojekta izstrāde, BP ekspertīze (3.kārta)</t>
  </si>
  <si>
    <t>Elektroinstalācijas un vājstrāvas izbūve (1.bloks)</t>
  </si>
  <si>
    <t>Elektroapgādes</t>
  </si>
  <si>
    <t>Krēslas sensors</t>
  </si>
  <si>
    <t>Pārslēdzis 1p z/a</t>
  </si>
  <si>
    <t>Slēdzis 2p z/a</t>
  </si>
  <si>
    <t>Slēdzis 1pz/a</t>
  </si>
  <si>
    <t>Rozete 3f</t>
  </si>
  <si>
    <t>Rozete L+N+PE z/a IP44</t>
  </si>
  <si>
    <t>Rozete L+N+PE z/a</t>
  </si>
  <si>
    <t xml:space="preserve">Rozete L+N+PE z/a kanālā </t>
  </si>
  <si>
    <t>Rozete L+N+PE v/a</t>
  </si>
  <si>
    <t>Nozarkārbas</t>
  </si>
  <si>
    <t>Montāžas kārbas z/a</t>
  </si>
  <si>
    <t>PVC caurule  d=32</t>
  </si>
  <si>
    <t>PVC caurule d=50</t>
  </si>
  <si>
    <t>Kabeļu plaukts B=300 mm</t>
  </si>
  <si>
    <t>15</t>
  </si>
  <si>
    <t>Kabelis PPJ 3x1.5</t>
  </si>
  <si>
    <t>16</t>
  </si>
  <si>
    <t>Kabelis PPJ 3x2.5</t>
  </si>
  <si>
    <t>17</t>
  </si>
  <si>
    <t>Kabelis PPJ 5x2.5</t>
  </si>
  <si>
    <t>18</t>
  </si>
  <si>
    <t>Kabelis PPJ 5x6</t>
  </si>
  <si>
    <t>19</t>
  </si>
  <si>
    <t>Kabelis PPJ 5x10</t>
  </si>
  <si>
    <t>20</t>
  </si>
  <si>
    <t>Kabelis PPJ 5x16</t>
  </si>
  <si>
    <t>21</t>
  </si>
  <si>
    <t>Kabelis NYY-J 1x16</t>
  </si>
  <si>
    <t>22</t>
  </si>
  <si>
    <t>Apg. Ķern Nr. 1 iebūvēta 2x58W</t>
  </si>
  <si>
    <t>23</t>
  </si>
  <si>
    <t>Apg. Ķern Nr.3 griestu 1x58W</t>
  </si>
  <si>
    <t>24</t>
  </si>
  <si>
    <t>Apg. Ķern Nr.4 griestu 4x18W</t>
  </si>
  <si>
    <t>25</t>
  </si>
  <si>
    <t>Apg. Ķern Nr. 5 iebūvēta 2x26W IP44</t>
  </si>
  <si>
    <t>26</t>
  </si>
  <si>
    <t>Apg. Ķern Nr.6 iebūvēta 2x26W</t>
  </si>
  <si>
    <t>27</t>
  </si>
  <si>
    <t>Apg. Ķern Nr. 7 50W sienas vir spoguļa</t>
  </si>
  <si>
    <t>28</t>
  </si>
  <si>
    <t>Apg. Ķern Nr. 8 griestu 1x58W</t>
  </si>
  <si>
    <t>29</t>
  </si>
  <si>
    <t>Apg. Ķern Nr.9 griestu 2x18W</t>
  </si>
  <si>
    <t>30</t>
  </si>
  <si>
    <t>Apg. Ķern Nr.15 griestu 2x58W</t>
  </si>
  <si>
    <t>31</t>
  </si>
  <si>
    <t>Apg. Ķern Nr.17 griestu 1x58W</t>
  </si>
  <si>
    <t>32</t>
  </si>
  <si>
    <t>Apg. Ķern Nr.18 2x26W sienas</t>
  </si>
  <si>
    <t>33</t>
  </si>
  <si>
    <t>Apg. Ķern Nr. 33 āra griestu 60W</t>
  </si>
  <si>
    <t>34</t>
  </si>
  <si>
    <t>Apg. Ķern Nr.34 āra sienas 60w</t>
  </si>
  <si>
    <t>35</t>
  </si>
  <si>
    <t>Evakuācijas apgaismes ķermenis</t>
  </si>
  <si>
    <t>36</t>
  </si>
  <si>
    <t>Metāla profils apgasimes ķ. Stiprin</t>
  </si>
  <si>
    <t>37</t>
  </si>
  <si>
    <t>Sadale GS-1 v/a</t>
  </si>
  <si>
    <t>38</t>
  </si>
  <si>
    <t>Sadale GS2 GSA v/a</t>
  </si>
  <si>
    <t>39</t>
  </si>
  <si>
    <t>Sadale AS z/a</t>
  </si>
  <si>
    <t>40</t>
  </si>
  <si>
    <t>Sadale SS11 z/a</t>
  </si>
  <si>
    <t>41</t>
  </si>
  <si>
    <t>Sadale SS12 z/a</t>
  </si>
  <si>
    <t>42</t>
  </si>
  <si>
    <t>Sadale SS31 z/a</t>
  </si>
  <si>
    <t>43</t>
  </si>
  <si>
    <t>Sadale SS32 z/a</t>
  </si>
  <si>
    <t>44</t>
  </si>
  <si>
    <t>Sadale SS33 z/a</t>
  </si>
  <si>
    <t>45</t>
  </si>
  <si>
    <t>Sadale SS34 z/a</t>
  </si>
  <si>
    <t>46</t>
  </si>
  <si>
    <t>Sadale SS41 z/a</t>
  </si>
  <si>
    <t>47</t>
  </si>
  <si>
    <t>Sadale VS1 z/a</t>
  </si>
  <si>
    <t>48</t>
  </si>
  <si>
    <t>Sadale SS01 z/a</t>
  </si>
  <si>
    <t>49</t>
  </si>
  <si>
    <t>Sadale SS02 z/a</t>
  </si>
  <si>
    <t>50</t>
  </si>
  <si>
    <t>Sadale SS24 z/a</t>
  </si>
  <si>
    <t>51</t>
  </si>
  <si>
    <t>Sadale SS23 z/a</t>
  </si>
  <si>
    <t>52</t>
  </si>
  <si>
    <t>Sadale SS22 z/a</t>
  </si>
  <si>
    <t>53</t>
  </si>
  <si>
    <t>Sadale SS21 z/a</t>
  </si>
  <si>
    <t>54</t>
  </si>
  <si>
    <t>Sadale SS14 z/a</t>
  </si>
  <si>
    <t>55</t>
  </si>
  <si>
    <t>Sadale SS13 z/a</t>
  </si>
  <si>
    <t>56</t>
  </si>
  <si>
    <t>Sadale TAS z/a</t>
  </si>
  <si>
    <t>Zibensaizsardzība</t>
  </si>
  <si>
    <t>Aktīvais uztvērējs Prevectron 2-S 4.50 Millenium -M20</t>
  </si>
  <si>
    <t>7m 2-daļīgs masts (40mmx4.5m+32mmx2.75)-M-20</t>
  </si>
  <si>
    <t>Masta stiprin. (kompl. 3 gab)</t>
  </si>
  <si>
    <t>Galvanizēta tērauda lente 30x3.5mm</t>
  </si>
  <si>
    <t>Nerūs. Tērauda savilce d=100mm</t>
  </si>
  <si>
    <t>Stiprinājuma elements plakandzelzim uz jumta</t>
  </si>
  <si>
    <t>Stiprinājums plakandzelzim pie sienas</t>
  </si>
  <si>
    <t>Gumijas starplika</t>
  </si>
  <si>
    <t>Testa klemme</t>
  </si>
  <si>
    <t>Galvanizēta tērauda iezemējums (trijstūris 3x3x3m)</t>
  </si>
  <si>
    <t>Galvanizēta tērauda zemējuma stienis 20x1500mm</t>
  </si>
  <si>
    <t>Universiāla klemme zemējuma stieņa savienošanai ar iezemējumu</t>
  </si>
  <si>
    <t>Zemmes klemme (krusta)</t>
  </si>
  <si>
    <t>Pacēlājs</t>
  </si>
  <si>
    <t>st</t>
  </si>
  <si>
    <t>Ugunsdzēsības signalizācija</t>
  </si>
  <si>
    <t>Adrešu ugunsdzēsības signalizācijas panelis Ziton ZP3-4L</t>
  </si>
  <si>
    <t>Akumulators 24Ah/12V</t>
  </si>
  <si>
    <t>Nepārtrauktās barošanas bloks MegaLine 1250VA (code Pa201N)</t>
  </si>
  <si>
    <t xml:space="preserve">Papildus akumulatoru kaste BATT MegaLine </t>
  </si>
  <si>
    <t xml:space="preserve">Akumulators MegaLine 1250KB </t>
  </si>
  <si>
    <t>Akumulators kastei KB MegaLine /2</t>
  </si>
  <si>
    <t>Bateriju dalītāja ietaise MegaLine Splitter</t>
  </si>
  <si>
    <t>Bateriju lādētājs CB 36</t>
  </si>
  <si>
    <t>Programma ZP-PLW</t>
  </si>
  <si>
    <t>Optiskais dūmu detektors System Sensor ECO 1003/1000B</t>
  </si>
  <si>
    <t>Adrreses dūmu optiskais detektors ZP730-2</t>
  </si>
  <si>
    <t>Adreses termiskais optiskais detektors ZP720-2</t>
  </si>
  <si>
    <t>Adreses detektora bāze ZP7-SB1</t>
  </si>
  <si>
    <t>Adreses rokas signālpoga ZP785-2</t>
  </si>
  <si>
    <t>Trauksmnes pogas bāze Z-CSPB-1</t>
  </si>
  <si>
    <t>Caurspīdīgs vāks trauksmes pogai, PS-200</t>
  </si>
  <si>
    <t>Stikls priekš KAC sērijas pogām</t>
  </si>
  <si>
    <t>Iznesamais indikators VSI-1</t>
  </si>
  <si>
    <t>Adreses modulis konvencionālam detektoram ZP570-2</t>
  </si>
  <si>
    <t>Releja modulis ZP 750-2</t>
  </si>
  <si>
    <t>Īsslēguma izolatorsa modulis ZP760-2 ar bāzi ZP7-SB1</t>
  </si>
  <si>
    <t>Starprelejs ESMI Nr. 8276</t>
  </si>
  <si>
    <t>Āra sirēna ar stobrlampu Fulleon MES -XN</t>
  </si>
  <si>
    <t>Signalizācijas kabelis 2x0.8+0.8</t>
  </si>
  <si>
    <t>Signalizācijas kabelis 2x0.8+0.8 E30, nedegošs 30 min</t>
  </si>
  <si>
    <t>Spēka kabelis NHXH -FE 3x1.5, E30/180 nedegošs 30 min</t>
  </si>
  <si>
    <t>Kabeļa aizsegs 15*20mm</t>
  </si>
  <si>
    <t>Savienojuma kastīte J-40 (JB-701) vai KRT8</t>
  </si>
  <si>
    <t>Pārējie izdevumi (skrūves, stiprinājumi un citi materiāli)</t>
  </si>
  <si>
    <t>Izpilddokumentācija, programmēšana, nodošna</t>
  </si>
  <si>
    <t>Trauksmes izziņošanas sistēma</t>
  </si>
  <si>
    <t>Kontrolieris BOSCH LBB 1990/00</t>
  </si>
  <si>
    <t>Pastiprinātājs BOSCH LBB 1935/00</t>
  </si>
  <si>
    <t>Paplašinātājs BOSCH LBB 1992/00</t>
  </si>
  <si>
    <t>Radio un CD atskaņotājs BOSCH LBB 1961/00</t>
  </si>
  <si>
    <t xml:space="preserve"> Mikrofons BOSCH LBB 1956/00</t>
  </si>
  <si>
    <t>Repitors BOSCH LBB 1995/00</t>
  </si>
  <si>
    <t>Skapis 19'' 32U 600*600</t>
  </si>
  <si>
    <t>Ventilators</t>
  </si>
  <si>
    <t>Skaļrunis pie sienas BOSCH LB1-UW06-L (1.5W; 3.0W; 6.0W) baltā krāsā</t>
  </si>
  <si>
    <t>Skaļrunis griestos BOSCH LBC 3951/01 (0.75W; 1.5W; 3.0W; 6.0W)</t>
  </si>
  <si>
    <t>Termodrošinātājs BOSCH LBC 1256/00</t>
  </si>
  <si>
    <t>Ugunsdrošs kabelis 2x0.8, E30 nedegošs 30 min</t>
  </si>
  <si>
    <t>El. Ugunsdrošs kabelis 3x1.5, E30/180 nedegošs 30 min</t>
  </si>
  <si>
    <t>Kabelis UTP 5e kat. 4x2x0.5</t>
  </si>
  <si>
    <t>Savienošanas kebeļi</t>
  </si>
  <si>
    <t>UPS 3000W (general eletric) Rack mounted 4U ar akumulatoriem</t>
  </si>
  <si>
    <t>uzgriežņu komplekts 20gab</t>
  </si>
  <si>
    <t>El.rozete</t>
  </si>
  <si>
    <t>Izpilddokumentācija, programmēšana, un nodošana</t>
  </si>
  <si>
    <t>TV un apsardze</t>
  </si>
  <si>
    <t>Apsardzes panelis NX-8BO</t>
  </si>
  <si>
    <t>16 zonu paplašinātājs</t>
  </si>
  <si>
    <t>Stabilizators</t>
  </si>
  <si>
    <t>Korpuss nNX-8</t>
  </si>
  <si>
    <t>Transformators 2A</t>
  </si>
  <si>
    <t>Atsēga un tamperu</t>
  </si>
  <si>
    <t>Akumulators 7Ah/12V</t>
  </si>
  <si>
    <t>Tastatūra (klviatūra) NX-148</t>
  </si>
  <si>
    <t>Kustības detektors RX-40PT</t>
  </si>
  <si>
    <t>Kustības un stiklu vibrācijas (sitienu) detektors SPR-G2</t>
  </si>
  <si>
    <t>Kronšteins</t>
  </si>
  <si>
    <t>Magnētiskais kontakts (plastmasas vai koka durvīm) STB-10</t>
  </si>
  <si>
    <t>Sirēna ar lampu MR-100 ar akum.</t>
  </si>
  <si>
    <t>Kabelis UTP 4x2x0.5</t>
  </si>
  <si>
    <t>Spēka kabelis NYY 3x1.5</t>
  </si>
  <si>
    <t>TV masts (h=3.5m)</t>
  </si>
  <si>
    <t>Masta turētājs</t>
  </si>
  <si>
    <t>Decimetru antena</t>
  </si>
  <si>
    <t>6-12 kanāla antena</t>
  </si>
  <si>
    <t>3. kanāla antena</t>
  </si>
  <si>
    <t>TV pastiprinātājs</t>
  </si>
  <si>
    <t>Dalītājs (Split2)</t>
  </si>
  <si>
    <t>Dalītājs (Split4)</t>
  </si>
  <si>
    <t>TV rozete</t>
  </si>
  <si>
    <t>Konektors FF0</t>
  </si>
  <si>
    <t>Kabelis RG11</t>
  </si>
  <si>
    <t>Kabelus RG6</t>
  </si>
  <si>
    <t>Izpilddokumentācija, programmēšana un nodošana</t>
  </si>
  <si>
    <t>Elektroinstalācijas un vājstrāvas (1A bloks)</t>
  </si>
  <si>
    <t>Elektroapgāde</t>
  </si>
  <si>
    <t>Grīdas kārba 4v ar 2 gab. Rozetēm L+N+PE</t>
  </si>
  <si>
    <t>Kabeļu plaukts B=400 mm</t>
  </si>
  <si>
    <t>Apg. Ķern Nr. 2 iebūvēta 2x58W</t>
  </si>
  <si>
    <t>Apg. Ķern Nr. 7 50W sienas virs spoguļa</t>
  </si>
  <si>
    <t>Apg. Ķern Nr.10 ar akumulatoru</t>
  </si>
  <si>
    <t>Apg. Ķern Nr.10 griestu 4x55W ar aizsargu</t>
  </si>
  <si>
    <t>Apg. Ķern Nr. 12 sienas 36W</t>
  </si>
  <si>
    <t>Apg. Ķern Nr.14 sienas 1x36W IP44</t>
  </si>
  <si>
    <t>Apg. Ķern Nr.30</t>
  </si>
  <si>
    <t>Apg. Ķern Nr.31 fasādes sienas 55W</t>
  </si>
  <si>
    <t>Apg. Ķern Nr.32 bedre 12V 40W ar bruņustiklu</t>
  </si>
  <si>
    <t>Sadale GS z/a</t>
  </si>
  <si>
    <t>Sadale AAS SS-1 z/a</t>
  </si>
  <si>
    <t>Sadale Ss-2 z/a</t>
  </si>
  <si>
    <t>Sadale SS-3 z/a</t>
  </si>
  <si>
    <t>Sadale VS z/a</t>
  </si>
  <si>
    <t>3.75 m 2-daļīgs masts - M20</t>
  </si>
  <si>
    <t>Masta stiprin. (kompl. 2 gab)</t>
  </si>
  <si>
    <t>Staru dūmu detektors</t>
  </si>
  <si>
    <t>Caurule d.40mm</t>
  </si>
  <si>
    <t>Pastiprinātājs BOSCH LBB 1938/20</t>
  </si>
  <si>
    <t>Skaļrunis pie sienas BOSCH LBC 3101/11 (2.5W; 5.0W; 10.0W;20W)</t>
  </si>
  <si>
    <t>Elektroinstalācijas un vājstrāvas 1B bloks</t>
  </si>
  <si>
    <t>Pārslēdzis 2p z/a</t>
  </si>
  <si>
    <t>Apg. Ķern Nr. 3 griestu 1x58W</t>
  </si>
  <si>
    <t>Apg. Ķern Nr. 4 griestu 4x18W</t>
  </si>
  <si>
    <t>Apg. Ķern Nr. 13 saunas 60W</t>
  </si>
  <si>
    <t>Apg. Ķern Nr.16 iebūvēta 200x200 50W</t>
  </si>
  <si>
    <t>Apg. Ķern Nr.33 āra griestu 60W</t>
  </si>
  <si>
    <t>Apg. Ķern Nr.34 āra sienas 60W</t>
  </si>
  <si>
    <t>Sadale GS AAS z/a</t>
  </si>
  <si>
    <t>Sadale SS-1 z/a</t>
  </si>
  <si>
    <t>Sadale SS-2 z/a</t>
  </si>
  <si>
    <t>Sadale SS-4 z/a</t>
  </si>
  <si>
    <t>Sadale SS-5 z/a</t>
  </si>
  <si>
    <t>Stieple St/Zn 8mm</t>
  </si>
  <si>
    <t>Plakandzelzs St/Zn 40x4</t>
  </si>
  <si>
    <t>Elektrodi ST/Zn 20mm l=5m</t>
  </si>
  <si>
    <t>Stieples stiprinājumi jumta</t>
  </si>
  <si>
    <t>Stieple stiprinājumi fasādes</t>
  </si>
  <si>
    <t>Multispailes stieplei d=8mm</t>
  </si>
  <si>
    <t>Potenciālā izlīdzināšanas kopne</t>
  </si>
  <si>
    <t>Mērspaile</t>
  </si>
  <si>
    <t>Kabelis NYY-J 1x50mm</t>
  </si>
  <si>
    <t>Automātiskā signalizācija</t>
  </si>
  <si>
    <t>Termokabelis Protectwire 365F</t>
  </si>
  <si>
    <t>Spēka kabelis NYY 3x1.5mm1</t>
  </si>
  <si>
    <t>Ugunsgrēka apziņošanas sistēmas iekārtas</t>
  </si>
  <si>
    <t>Ugunsgrēka apziņošanas sistēmas iekārtu nomaiņa, modernizēšana</t>
  </si>
  <si>
    <t>Apkures un ūdensvada sistēmas izbūves darbi</t>
  </si>
  <si>
    <t>Siltummezgla rekonstrukcija</t>
  </si>
  <si>
    <t>Apkures sistēmas izbūves darbi, sildķermeņi</t>
  </si>
  <si>
    <t>Apkures sistēmas izbūves darbi, cauruļvadi</t>
  </si>
  <si>
    <t>Ventilācijas saimniecības atjaunošana</t>
  </si>
  <si>
    <t>Piespiedu vēdināšanas sistēmas pārbūve, saglabājot vēsturisko (arh. E. Laubes) nama ventilācijas kanālu sistēmu.</t>
  </si>
  <si>
    <t>Fasādes atjaunošana Rozentāla freskas, kolonnas</t>
  </si>
  <si>
    <t>AMI veikšana 4.kārtas restaurācijas darbiem</t>
  </si>
  <si>
    <t>Biedrības vēsturisko materiālu izpēte,  3.kārta (3 pētnieki)</t>
  </si>
  <si>
    <t>Būvprojekta izstrāde, BP ekspertīze (4.kārta)</t>
  </si>
  <si>
    <t>1.stāva foajē ar Restorāna ieeju un Lielās zāles kreisās un labās puses kāpņu foajē (1.st)</t>
  </si>
  <si>
    <t>Kamīnzāles estetizācija</t>
  </si>
  <si>
    <t xml:space="preserve">Vestibila inženiertehniskās sistēmas </t>
  </si>
  <si>
    <t>Nama BMS sistēmas pārcelšana uz tehnisko telpu, sistēmas atjaunošana, modernizēšana.</t>
  </si>
  <si>
    <t>Invalīdu lifts</t>
  </si>
  <si>
    <t>Vertikālā platforma ELEVEX</t>
  </si>
  <si>
    <t>Pasažieru lifts KONE Mono 500 1150kg/15 personas, 7 pieturas</t>
  </si>
  <si>
    <t xml:space="preserve">Vides pieejamības izbūve </t>
  </si>
  <si>
    <t>Atbilstošu labierīcību un piekļuves nodrošināšana ēkas publiskām telpām (1-4.stāvs) atbilstoši vides pieejamības prasībām.</t>
  </si>
  <si>
    <t>Fasādes atjaunošana, Zelta zāles balkons (D)</t>
  </si>
  <si>
    <t>AMI veikšana 5.kārtas restaurācijas darbiem</t>
  </si>
  <si>
    <t>Biedrības vēsturisko materiālu izpēte,  4.kārta (3 pētnieki)</t>
  </si>
  <si>
    <t>Būvprojekta izstrāde (5.kārta)</t>
  </si>
  <si>
    <t>Baltās zāles un Baltās zāles bufetes telpas restaurācija (A). Bufetes telpas logu vitrāžu restaurācija</t>
  </si>
  <si>
    <t>Vēsturiskās Biedrības valdes telpu restaurācija (B)</t>
  </si>
  <si>
    <t>Pārseguma līganuma rezultātā radīto bojājumu novēršana 2.stāva pārsegumā un sienās (Biedrības runas vīru telpa).</t>
  </si>
  <si>
    <t>AMI veikšana 6.kārtas restaurācijas darbiem</t>
  </si>
  <si>
    <t>Biedrības vēsturisko materiālu izpēte,  5.kārta (1 pētnieks)</t>
  </si>
  <si>
    <t>Arhīvu materiālu digitalizācija 100 datnes</t>
  </si>
  <si>
    <t>Būvprojekta izstrāde (6.kārta)</t>
  </si>
  <si>
    <t>Zelta zāles, Zelta zāles salonu un 3.stāva foajē restaurācija (D)</t>
  </si>
  <si>
    <t>AMI veikšana 7.kārtas restaurācijas darbiem</t>
  </si>
  <si>
    <t>Biedrības vēsturisko materiālu izpēte,  6.kārta (1 pētnieks)</t>
  </si>
  <si>
    <t>Būvprojekta izstrāde (7.kārta)</t>
  </si>
  <si>
    <t>Kluba zāles, Priekšsēdētāja kabineta, 2.stāva foajē restaurācija, Līgo zāles estetizācija, griestu gleznojuma atjaunošana</t>
  </si>
  <si>
    <t xml:space="preserve">Saimniecības telpu remonts (AB) </t>
  </si>
  <si>
    <t>Kāpņu telpu, palīgtelpu remonts. Administrācijas telpu remonts. 1-5 stāvs AB korpuss</t>
  </si>
  <si>
    <t>AMI veikšana 8.kārtas restaurācijas darbiem</t>
  </si>
  <si>
    <t>Būvprojekta izstrāde (8.kārta)</t>
  </si>
  <si>
    <t>Gaismas ķermeņu restaurācija</t>
  </si>
  <si>
    <t>Gaismas ķermeņu un interjēra priekšmetu restaurācija</t>
  </si>
  <si>
    <t>Kods, aplēšu Nr.</t>
  </si>
  <si>
    <r>
      <t xml:space="preserve">Kopējās izmaksas </t>
    </r>
    <r>
      <rPr>
        <i/>
        <sz val="10"/>
        <rFont val="Times New Roman"/>
        <family val="1"/>
        <charset val="186"/>
      </rPr>
      <t>(euro)</t>
    </r>
  </si>
  <si>
    <t>Izmaksu aplēšu kopsavilkums</t>
  </si>
  <si>
    <t>Rīgas Latviešu biedrības nama atjaunošanas, izpētes, konservācijas un restaurācijas programmai</t>
  </si>
  <si>
    <t>PIELIKUMS NR.4</t>
  </si>
  <si>
    <t>Virsizdevumi</t>
  </si>
  <si>
    <t>Peļņa</t>
  </si>
  <si>
    <t>Tiešie izdevumi ar peļņu un virsizdevumiem</t>
  </si>
  <si>
    <t>Kopā ar peļņu un virsizdevumiem</t>
  </si>
  <si>
    <t>Kopā ar virsizdevumiem un peļņu</t>
  </si>
  <si>
    <t>Kopā ar peļņu un Virsizdevumiem</t>
  </si>
  <si>
    <t>Tiešie izdevumi ar visrizdevumiem un peļņu</t>
  </si>
</sst>
</file>

<file path=xl/styles.xml><?xml version="1.0" encoding="utf-8"?>
<styleSheet xmlns="http://schemas.openxmlformats.org/spreadsheetml/2006/main">
  <numFmts count="12">
    <numFmt numFmtId="44" formatCode="_-&quot;€&quot;\ * #,##0.00_-;\-&quot;€&quot;\ * #,##0.00_-;_-&quot;€&quot;\ * &quot;-&quot;??_-;_-@_-"/>
    <numFmt numFmtId="43" formatCode="_-* #,##0.00_-;\-* #,##0.00_-;_-* &quot;-&quot;??_-;_-@_-"/>
    <numFmt numFmtId="164" formatCode="_(* #,##0.00_);_(* \(#,##0.00\);_(* &quot;-&quot;??_);_(@_)"/>
    <numFmt numFmtId="165" formatCode="_-* #,##0.00_р_._-;\-* #,##0.00_р_._-;_-* &quot;-&quot;??_р_._-;_-@_-"/>
    <numFmt numFmtId="166" formatCode="&quot;On&quot;;&quot;On&quot;;&quot;Off&quot;"/>
    <numFmt numFmtId="167" formatCode="#,##0.00_ ;\-#,##0.00\ "/>
    <numFmt numFmtId="168" formatCode="_-* #,##0.00\ _L_s_-;\-* #,##0.00\ _L_s_-;_-* \-??\ _L_s_-;_-@_-"/>
    <numFmt numFmtId="169" formatCode="\ #,##0.00&quot;      &quot;;\-#,##0.00&quot;      &quot;;&quot; -&quot;#&quot;      &quot;;@\ "/>
    <numFmt numFmtId="170" formatCode="_-* #,##0.00\ _L_s_-;\-* #,##0.00\ _L_s_-;_-* &quot;-&quot;??\ _L_s_-;_-@_-"/>
    <numFmt numFmtId="171" formatCode="#,##0.00[$Ls-426];[Red]\-#,##0.00[$Ls-426]"/>
    <numFmt numFmtId="172" formatCode="_-* #,##0.00_-;\-* #,##0.00_-;_-* \-??_-;_-@_-"/>
    <numFmt numFmtId="173" formatCode="yyyy\-mm\-dd;@"/>
  </numFmts>
  <fonts count="94">
    <font>
      <sz val="10"/>
      <name val="Arial"/>
      <charset val="186"/>
    </font>
    <font>
      <sz val="10"/>
      <name val="Arial"/>
      <charset val="186"/>
    </font>
    <font>
      <sz val="10"/>
      <name val="Helv"/>
    </font>
    <font>
      <sz val="10"/>
      <name val="Arial"/>
      <family val="2"/>
      <charset val="204"/>
    </font>
    <font>
      <sz val="10"/>
      <name val="Arial"/>
      <family val="2"/>
      <charset val="186"/>
    </font>
    <font>
      <sz val="10"/>
      <color indexed="8"/>
      <name val="Arial1"/>
      <charset val="186"/>
    </font>
    <font>
      <sz val="11"/>
      <color indexed="8"/>
      <name val="Calibri"/>
      <family val="2"/>
      <charset val="186"/>
    </font>
    <font>
      <sz val="10"/>
      <name val="Arial"/>
      <family val="2"/>
    </font>
    <font>
      <sz val="11"/>
      <color indexed="8"/>
      <name val="Arial"/>
      <family val="2"/>
      <charset val="204"/>
    </font>
    <font>
      <b/>
      <sz val="15"/>
      <color indexed="56"/>
      <name val="Calibri"/>
      <family val="2"/>
      <charset val="186"/>
    </font>
    <font>
      <b/>
      <sz val="13"/>
      <color indexed="56"/>
      <name val="Calibri"/>
      <family val="2"/>
      <charset val="186"/>
    </font>
    <font>
      <b/>
      <sz val="11"/>
      <color indexed="56"/>
      <name val="Calibri"/>
      <family val="2"/>
      <charset val="186"/>
    </font>
    <font>
      <sz val="9"/>
      <color indexed="8"/>
      <name val="Calibri"/>
      <family val="2"/>
      <charset val="186"/>
    </font>
    <font>
      <b/>
      <sz val="18"/>
      <color indexed="56"/>
      <name val="Cambria"/>
      <family val="2"/>
      <charset val="186"/>
    </font>
    <font>
      <sz val="11"/>
      <color indexed="8"/>
      <name val="Arial1"/>
      <charset val="186"/>
    </font>
    <font>
      <sz val="10"/>
      <name val="Times New Roman"/>
      <family val="1"/>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4"/>
      <name val="Calibri"/>
      <family val="2"/>
      <charset val="186"/>
    </font>
    <font>
      <b/>
      <sz val="13"/>
      <color indexed="54"/>
      <name val="Calibri"/>
      <family val="2"/>
      <charset val="186"/>
    </font>
    <font>
      <b/>
      <sz val="11"/>
      <color indexed="54"/>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8"/>
      <color indexed="54"/>
      <name val="Calibri Light"/>
      <family val="2"/>
      <charset val="186"/>
    </font>
    <font>
      <b/>
      <sz val="11"/>
      <color indexed="8"/>
      <name val="Calibri"/>
      <family val="2"/>
      <charset val="186"/>
    </font>
    <font>
      <sz val="11"/>
      <color indexed="10"/>
      <name val="Calibri"/>
      <family val="2"/>
      <charset val="186"/>
    </font>
    <font>
      <sz val="10"/>
      <color indexed="8"/>
      <name val="Arial"/>
      <family val="2"/>
    </font>
    <font>
      <sz val="12"/>
      <color indexed="8"/>
      <name val="Arial"/>
      <family val="2"/>
      <charset val="186"/>
    </font>
    <font>
      <b/>
      <sz val="15"/>
      <color indexed="62"/>
      <name val="Calibri"/>
      <family val="2"/>
      <charset val="186"/>
    </font>
    <font>
      <b/>
      <i/>
      <sz val="16"/>
      <color indexed="8"/>
      <name val="Arial1"/>
      <charset val="186"/>
    </font>
    <font>
      <b/>
      <sz val="13"/>
      <color indexed="62"/>
      <name val="Calibri"/>
      <family val="2"/>
      <charset val="186"/>
    </font>
    <font>
      <b/>
      <sz val="11"/>
      <color indexed="62"/>
      <name val="Calibri"/>
      <family val="2"/>
      <charset val="186"/>
    </font>
    <font>
      <sz val="11"/>
      <color indexed="8"/>
      <name val="Calibri"/>
      <family val="2"/>
      <charset val="204"/>
    </font>
    <font>
      <sz val="10"/>
      <color indexed="8"/>
      <name val="Arial2"/>
      <charset val="186"/>
    </font>
    <font>
      <b/>
      <i/>
      <u/>
      <sz val="11"/>
      <color indexed="8"/>
      <name val="Arial1"/>
      <charset val="186"/>
    </font>
    <font>
      <sz val="12"/>
      <name val="Arial"/>
      <family val="2"/>
    </font>
    <font>
      <sz val="11"/>
      <color indexed="8"/>
      <name val="Calibri"/>
      <family val="2"/>
    </font>
    <font>
      <sz val="10"/>
      <name val="Arial"/>
      <family val="2"/>
      <charset val="204"/>
    </font>
    <font>
      <sz val="10"/>
      <name val="Arial"/>
      <family val="2"/>
      <charset val="186"/>
    </font>
    <font>
      <sz val="10"/>
      <name val="Arial Cyr"/>
      <family val="2"/>
      <charset val="204"/>
    </font>
    <font>
      <sz val="10"/>
      <color indexed="8"/>
      <name val="Arial"/>
      <family val="2"/>
      <charset val="186"/>
    </font>
    <font>
      <sz val="10"/>
      <name val="Arial"/>
      <family val="2"/>
      <charset val="186"/>
    </font>
    <font>
      <b/>
      <sz val="18"/>
      <color indexed="56"/>
      <name val="Cambria"/>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17"/>
      <name val="Calibri"/>
      <family val="2"/>
      <charset val="204"/>
    </font>
    <font>
      <sz val="11"/>
      <color indexed="20"/>
      <name val="Calibri"/>
      <family val="2"/>
      <charset val="204"/>
    </font>
    <font>
      <sz val="11"/>
      <color indexed="60"/>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0"/>
      <name val="Arial"/>
      <family val="2"/>
      <charset val="204"/>
    </font>
    <font>
      <sz val="12"/>
      <color indexed="17"/>
      <name val="Times New Roman"/>
      <family val="2"/>
      <charset val="186"/>
    </font>
    <font>
      <sz val="10"/>
      <name val="Arial Cyr"/>
      <charset val="186"/>
    </font>
    <font>
      <sz val="8"/>
      <name val="Tahoma"/>
      <family val="2"/>
      <charset val="186"/>
    </font>
    <font>
      <sz val="9"/>
      <name val="Tahoma"/>
      <family val="2"/>
      <charset val="186"/>
    </font>
    <font>
      <sz val="10"/>
      <color indexed="8"/>
      <name val="MS Sans Serif"/>
      <family val="2"/>
      <charset val="204"/>
    </font>
    <font>
      <sz val="10"/>
      <name val="MS Sans Serif"/>
      <family val="2"/>
      <charset val="186"/>
    </font>
    <font>
      <sz val="11"/>
      <color indexed="8"/>
      <name val="MS Sans Serif"/>
      <family val="2"/>
      <charset val="186"/>
    </font>
    <font>
      <b/>
      <sz val="11"/>
      <name val="Times New Roman"/>
      <family val="1"/>
      <charset val="186"/>
    </font>
    <font>
      <b/>
      <sz val="10"/>
      <name val="Times New Roman"/>
      <family val="1"/>
      <charset val="186"/>
    </font>
    <font>
      <i/>
      <sz val="10"/>
      <name val="Times New Roman"/>
      <family val="1"/>
      <charset val="186"/>
    </font>
    <font>
      <b/>
      <u/>
      <sz val="11"/>
      <name val="Times New Roman"/>
      <family val="1"/>
      <charset val="186"/>
    </font>
    <font>
      <b/>
      <u/>
      <sz val="10"/>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i/>
      <sz val="12"/>
      <name val="Times New Roman"/>
      <family val="1"/>
      <charset val="186"/>
    </font>
    <font>
      <sz val="12"/>
      <color indexed="8"/>
      <name val="Times New Roman"/>
      <family val="1"/>
      <charset val="186"/>
    </font>
    <font>
      <sz val="8"/>
      <name val="Arial"/>
      <family val="2"/>
      <charset val="186"/>
    </font>
    <font>
      <sz val="12"/>
      <color indexed="8"/>
      <name val="Arial Narrow"/>
      <family val="2"/>
      <charset val="186"/>
    </font>
    <font>
      <b/>
      <sz val="10"/>
      <name val="Arial"/>
      <family val="2"/>
      <charset val="186"/>
    </font>
    <font>
      <i/>
      <sz val="12"/>
      <color indexed="8"/>
      <name val="Times New Roman"/>
      <family val="1"/>
    </font>
    <font>
      <sz val="8"/>
      <name val="Arial"/>
      <charset val="186"/>
    </font>
    <font>
      <sz val="11"/>
      <color theme="1"/>
      <name val="Franklin Gothic Book"/>
      <family val="2"/>
      <charset val="186"/>
      <scheme val="minor"/>
    </font>
    <font>
      <sz val="11"/>
      <color theme="1"/>
      <name val="Franklin Gothic Book"/>
      <family val="2"/>
      <scheme val="minor"/>
    </font>
    <font>
      <sz val="9"/>
      <color theme="1"/>
      <name val="Franklin Gothic Book"/>
      <family val="2"/>
      <charset val="186"/>
      <scheme val="minor"/>
    </font>
    <font>
      <sz val="10"/>
      <color theme="1"/>
      <name val="Arial"/>
      <family val="2"/>
      <charset val="186"/>
    </font>
    <font>
      <sz val="12"/>
      <color theme="1"/>
      <name val="Times New Roman"/>
      <family val="1"/>
      <charset val="186"/>
    </font>
    <font>
      <sz val="11"/>
      <color theme="0"/>
      <name val="Franklin Gothic Book"/>
      <family val="2"/>
      <charset val="186"/>
      <scheme val="minor"/>
    </font>
    <font>
      <sz val="14"/>
      <name val="Times New Roman"/>
      <family val="1"/>
      <charset val="186"/>
    </font>
  </fonts>
  <fills count="65">
    <fill>
      <patternFill patternType="none"/>
    </fill>
    <fill>
      <patternFill patternType="gray125"/>
    </fill>
    <fill>
      <patternFill patternType="solid">
        <fgColor indexed="62"/>
        <bgColor indexed="56"/>
      </patternFill>
    </fill>
    <fill>
      <patternFill patternType="solid">
        <fgColor indexed="10"/>
        <bgColor indexed="60"/>
      </patternFill>
    </fill>
    <fill>
      <patternFill patternType="solid">
        <fgColor indexed="31"/>
        <bgColor indexed="22"/>
      </patternFill>
    </fill>
    <fill>
      <patternFill patternType="solid">
        <fgColor indexed="24"/>
        <bgColor indexed="46"/>
      </patternFill>
    </fill>
    <fill>
      <patternFill patternType="solid">
        <fgColor indexed="31"/>
      </patternFill>
    </fill>
    <fill>
      <patternFill patternType="solid">
        <fgColor indexed="31"/>
        <bgColor indexed="41"/>
      </patternFill>
    </fill>
    <fill>
      <patternFill patternType="solid">
        <fgColor indexed="27"/>
      </patternFill>
    </fill>
    <fill>
      <patternFill patternType="solid">
        <fgColor indexed="45"/>
        <bgColor indexed="29"/>
      </patternFill>
    </fill>
    <fill>
      <patternFill patternType="solid">
        <fgColor indexed="45"/>
      </patternFill>
    </fill>
    <fill>
      <patternFill patternType="solid">
        <fgColor indexed="47"/>
        <bgColor indexed="22"/>
      </patternFill>
    </fill>
    <fill>
      <patternFill patternType="solid">
        <fgColor indexed="47"/>
      </patternFill>
    </fill>
    <fill>
      <patternFill patternType="solid">
        <fgColor indexed="42"/>
        <bgColor indexed="27"/>
      </patternFill>
    </fill>
    <fill>
      <patternFill patternType="solid">
        <fgColor indexed="42"/>
      </patternFill>
    </fill>
    <fill>
      <patternFill patternType="solid">
        <fgColor indexed="26"/>
        <bgColor indexed="9"/>
      </patternFill>
    </fill>
    <fill>
      <patternFill patternType="solid">
        <fgColor indexed="9"/>
      </patternFill>
    </fill>
    <fill>
      <patternFill patternType="solid">
        <fgColor indexed="46"/>
        <bgColor indexed="24"/>
      </patternFill>
    </fill>
    <fill>
      <patternFill patternType="solid">
        <fgColor indexed="46"/>
        <bgColor indexed="45"/>
      </patternFill>
    </fill>
    <fill>
      <patternFill patternType="solid">
        <fgColor indexed="46"/>
      </patternFill>
    </fill>
    <fill>
      <patternFill patternType="solid">
        <fgColor indexed="26"/>
      </patternFill>
    </fill>
    <fill>
      <patternFill patternType="solid">
        <fgColor indexed="27"/>
        <bgColor indexed="41"/>
      </patternFill>
    </fill>
    <fill>
      <patternFill patternType="solid">
        <fgColor indexed="27"/>
        <bgColor indexed="42"/>
      </patternFill>
    </fill>
    <fill>
      <patternFill patternType="solid">
        <fgColor indexed="47"/>
        <bgColor indexed="41"/>
      </patternFill>
    </fill>
    <fill>
      <patternFill patternType="solid">
        <fgColor indexed="57"/>
        <bgColor indexed="21"/>
      </patternFill>
    </fill>
    <fill>
      <patternFill patternType="solid">
        <fgColor indexed="20"/>
        <bgColor indexed="36"/>
      </patternFill>
    </fill>
    <fill>
      <patternFill patternType="solid">
        <fgColor indexed="44"/>
        <bgColor indexed="31"/>
      </patternFill>
    </fill>
    <fill>
      <patternFill patternType="solid">
        <fgColor indexed="44"/>
      </patternFill>
    </fill>
    <fill>
      <patternFill patternType="solid">
        <fgColor indexed="22"/>
        <bgColor indexed="31"/>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43"/>
        <bgColor indexed="26"/>
      </patternFill>
    </fill>
    <fill>
      <patternFill patternType="solid">
        <fgColor indexed="11"/>
      </patternFill>
    </fill>
    <fill>
      <patternFill patternType="solid">
        <fgColor indexed="11"/>
        <bgColor indexed="40"/>
      </patternFill>
    </fill>
    <fill>
      <patternFill patternType="solid">
        <fgColor indexed="22"/>
      </patternFill>
    </fill>
    <fill>
      <patternFill patternType="solid">
        <fgColor indexed="43"/>
      </patternFill>
    </fill>
    <fill>
      <patternFill patternType="solid">
        <fgColor indexed="51"/>
        <bgColor indexed="13"/>
      </patternFill>
    </fill>
    <fill>
      <patternFill patternType="solid">
        <fgColor indexed="51"/>
      </patternFill>
    </fill>
    <fill>
      <patternFill patternType="solid">
        <fgColor indexed="49"/>
        <bgColor indexed="40"/>
      </patternFill>
    </fill>
    <fill>
      <patternFill patternType="solid">
        <fgColor indexed="53"/>
        <bgColor indexed="52"/>
      </patternFill>
    </fill>
    <fill>
      <patternFill patternType="solid">
        <fgColor indexed="30"/>
        <bgColor indexed="21"/>
      </patternFill>
    </fill>
    <fill>
      <patternFill patternType="solid">
        <fgColor indexed="30"/>
      </patternFill>
    </fill>
    <fill>
      <patternFill patternType="solid">
        <fgColor indexed="36"/>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7"/>
      </patternFill>
    </fill>
    <fill>
      <patternFill patternType="solid">
        <fgColor indexed="62"/>
      </patternFill>
    </fill>
    <fill>
      <patternFill patternType="solid">
        <fgColor indexed="10"/>
      </patternFill>
    </fill>
    <fill>
      <patternFill patternType="solid">
        <fgColor indexed="53"/>
      </patternFill>
    </fill>
    <fill>
      <patternFill patternType="solid">
        <fgColor indexed="55"/>
      </patternFill>
    </fill>
    <fill>
      <patternFill patternType="solid">
        <fgColor indexed="22"/>
        <bgColor indexed="24"/>
      </patternFill>
    </fill>
    <fill>
      <patternFill patternType="solid">
        <fgColor indexed="22"/>
        <bgColor indexed="41"/>
      </patternFill>
    </fill>
    <fill>
      <patternFill patternType="solid">
        <fgColor indexed="55"/>
        <bgColor indexed="23"/>
      </patternFill>
    </fill>
    <fill>
      <patternFill patternType="solid">
        <fgColor theme="0" tint="-0.14999847407452621"/>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right style="thin">
        <color indexed="64"/>
      </right>
      <top/>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rgb="FF000000"/>
      </left>
      <right/>
      <top style="thin">
        <color rgb="FF000000"/>
      </top>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indexed="64"/>
      </left>
      <right style="dashed">
        <color auto="1"/>
      </right>
      <top style="dashed">
        <color indexed="64"/>
      </top>
      <bottom style="dashed">
        <color indexed="64"/>
      </bottom>
      <diagonal/>
    </border>
    <border>
      <left style="dashed">
        <color auto="1"/>
      </left>
      <right style="dashed">
        <color auto="1"/>
      </right>
      <top style="dashed">
        <color auto="1"/>
      </top>
      <bottom/>
      <diagonal/>
    </border>
    <border>
      <left style="dashed">
        <color auto="1"/>
      </left>
      <right style="dashed">
        <color auto="1"/>
      </right>
      <top/>
      <bottom/>
      <diagonal/>
    </border>
    <border>
      <left style="dashed">
        <color auto="1"/>
      </left>
      <right style="dashed">
        <color auto="1"/>
      </right>
      <top/>
      <bottom style="dashed">
        <color auto="1"/>
      </bottom>
      <diagonal/>
    </border>
    <border>
      <left style="thin">
        <color indexed="64"/>
      </left>
      <right style="dashed">
        <color auto="1"/>
      </right>
      <top style="dashed">
        <color indexed="64"/>
      </top>
      <bottom/>
      <diagonal/>
    </border>
    <border>
      <left style="thin">
        <color indexed="64"/>
      </left>
      <right style="dashed">
        <color auto="1"/>
      </right>
      <top/>
      <bottom/>
      <diagonal/>
    </border>
    <border>
      <left style="thin">
        <color indexed="64"/>
      </left>
      <right style="dashed">
        <color auto="1"/>
      </right>
      <top/>
      <bottom style="dashed">
        <color indexed="64"/>
      </bottom>
      <diagonal/>
    </border>
  </borders>
  <cellStyleXfs count="1168">
    <xf numFmtId="0" fontId="0" fillId="0" borderId="0"/>
    <xf numFmtId="0" fontId="32" fillId="0" borderId="0">
      <alignment vertical="top"/>
    </xf>
    <xf numFmtId="0" fontId="46" fillId="0" borderId="0">
      <alignment vertical="top"/>
    </xf>
    <xf numFmtId="0" fontId="16" fillId="2" borderId="0" applyNumberFormat="0" applyBorder="0" applyAlignment="0" applyProtection="0"/>
    <xf numFmtId="0" fontId="1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Protection="0">
      <alignment vertical="center" wrapText="1"/>
    </xf>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4" borderId="0" applyNumberFormat="0" applyBorder="0" applyProtection="0">
      <alignment vertical="center" wrapText="1"/>
    </xf>
    <xf numFmtId="0" fontId="6" fillId="7"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38" fillId="6"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Protection="0">
      <alignment vertical="center" wrapText="1"/>
    </xf>
    <xf numFmtId="0" fontId="6" fillId="4" borderId="0" applyNumberFormat="0" applyBorder="0" applyAlignment="0" applyProtection="0"/>
    <xf numFmtId="0" fontId="6" fillId="4" borderId="0" applyNumberFormat="0" applyBorder="0" applyAlignment="0" applyProtection="0"/>
    <xf numFmtId="0" fontId="38" fillId="10"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9" borderId="0" applyNumberFormat="0" applyBorder="0" applyProtection="0">
      <alignment vertical="center" wrapText="1"/>
    </xf>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9" borderId="0" applyNumberFormat="0" applyBorder="0" applyProtection="0">
      <alignment vertical="center" wrapText="1"/>
    </xf>
    <xf numFmtId="0" fontId="6" fillId="10" borderId="0" applyNumberFormat="0" applyBorder="0" applyAlignment="0" applyProtection="0"/>
    <xf numFmtId="0" fontId="6" fillId="12" borderId="0" applyNumberFormat="0" applyBorder="0" applyAlignment="0" applyProtection="0"/>
    <xf numFmtId="0" fontId="38" fillId="14"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3" borderId="0" applyNumberFormat="0" applyBorder="0" applyProtection="0">
      <alignment vertical="center" wrapText="1"/>
    </xf>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3" borderId="0" applyNumberFormat="0" applyBorder="0" applyProtection="0">
      <alignment vertical="center" wrapText="1"/>
    </xf>
    <xf numFmtId="0" fontId="6" fillId="14" borderId="0" applyNumberFormat="0" applyBorder="0" applyAlignment="0" applyProtection="0"/>
    <xf numFmtId="0" fontId="6" fillId="16"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7" borderId="0" applyNumberFormat="0" applyBorder="0" applyProtection="0">
      <alignment vertical="center" wrapText="1"/>
    </xf>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6" fillId="17" borderId="0" applyNumberFormat="0" applyBorder="0" applyProtection="0">
      <alignment vertical="center" wrapText="1"/>
    </xf>
    <xf numFmtId="0" fontId="6" fillId="17"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38" fillId="19" borderId="0" applyNumberFormat="0" applyBorder="0" applyAlignment="0" applyProtection="0"/>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8" borderId="0" applyNumberFormat="0" applyBorder="0" applyAlignment="0" applyProtection="0"/>
    <xf numFmtId="0" fontId="6" fillId="17" borderId="0" applyNumberFormat="0" applyBorder="0" applyProtection="0">
      <alignment vertical="center" wrapText="1"/>
    </xf>
    <xf numFmtId="0" fontId="6" fillId="18"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Protection="0">
      <alignment vertical="center" wrapText="1"/>
    </xf>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8" borderId="0" applyNumberFormat="0" applyBorder="0" applyAlignment="0" applyProtection="0"/>
    <xf numFmtId="0" fontId="6" fillId="21" borderId="0" applyNumberFormat="0" applyBorder="0" applyAlignment="0" applyProtection="0"/>
    <xf numFmtId="0" fontId="6" fillId="21" borderId="0" applyNumberFormat="0" applyBorder="0" applyProtection="0">
      <alignment vertical="center" wrapText="1"/>
    </xf>
    <xf numFmtId="0" fontId="6" fillId="22"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38" fillId="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Protection="0">
      <alignment vertical="center" wrapText="1"/>
    </xf>
    <xf numFmtId="0" fontId="6" fillId="21" borderId="0" applyNumberFormat="0" applyBorder="0" applyAlignment="0" applyProtection="0"/>
    <xf numFmtId="0" fontId="6" fillId="2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Protection="0">
      <alignment vertical="center" wrapText="1"/>
    </xf>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Protection="0">
      <alignment vertical="center" wrapText="1"/>
    </xf>
    <xf numFmtId="0" fontId="6" fillId="23"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38"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Protection="0">
      <alignment vertical="center" wrapText="1"/>
    </xf>
    <xf numFmtId="0" fontId="6" fillId="11"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11"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38" fillId="27" borderId="0" applyNumberFormat="0" applyBorder="0" applyAlignment="0" applyProtection="0"/>
    <xf numFmtId="0" fontId="6" fillId="26"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6" borderId="0" applyNumberFormat="0" applyBorder="0" applyProtection="0">
      <alignment vertical="center" wrapText="1"/>
    </xf>
    <xf numFmtId="0" fontId="6" fillId="27"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6" borderId="0" applyNumberFormat="0" applyBorder="0" applyProtection="0">
      <alignment vertical="center" wrapText="1"/>
    </xf>
    <xf numFmtId="0" fontId="6" fillId="27" borderId="0" applyNumberFormat="0" applyBorder="0" applyAlignment="0" applyProtection="0"/>
    <xf numFmtId="0" fontId="6" fillId="27" borderId="0" applyNumberFormat="0" applyBorder="0" applyAlignment="0" applyProtection="0"/>
    <xf numFmtId="0" fontId="38" fillId="3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Protection="0">
      <alignment vertical="center" wrapText="1"/>
    </xf>
    <xf numFmtId="0" fontId="6" fillId="3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Protection="0">
      <alignment vertical="center" wrapText="1"/>
    </xf>
    <xf numFmtId="0" fontId="6" fillId="30" borderId="0" applyNumberFormat="0" applyBorder="0" applyAlignment="0" applyProtection="0"/>
    <xf numFmtId="0" fontId="6" fillId="12"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Protection="0">
      <alignment vertical="center" wrapText="1"/>
    </xf>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1" borderId="0" applyNumberFormat="0" applyBorder="0" applyAlignment="0" applyProtection="0"/>
    <xf numFmtId="0" fontId="6" fillId="31" borderId="0" applyNumberFormat="0" applyBorder="0" applyProtection="0">
      <alignment vertical="center" wrapText="1"/>
    </xf>
    <xf numFmtId="0" fontId="6" fillId="34"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38" fillId="33"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6" fillId="31" borderId="0" applyNumberFormat="0" applyBorder="0" applyProtection="0">
      <alignment vertical="center" wrapText="1"/>
    </xf>
    <xf numFmtId="0" fontId="6" fillId="31" borderId="0" applyNumberFormat="0" applyBorder="0" applyAlignment="0" applyProtection="0"/>
    <xf numFmtId="0" fontId="6" fillId="31"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7" borderId="0" applyNumberFormat="0" applyBorder="0" applyProtection="0">
      <alignment vertical="center" wrapText="1"/>
    </xf>
    <xf numFmtId="0" fontId="6" fillId="1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18" borderId="0" applyNumberFormat="0" applyBorder="0" applyAlignment="0" applyProtection="0"/>
    <xf numFmtId="0" fontId="6" fillId="17" borderId="0" applyNumberFormat="0" applyBorder="0" applyProtection="0">
      <alignment vertical="center" wrapText="1"/>
    </xf>
    <xf numFmtId="0" fontId="6" fillId="17" borderId="0" applyNumberFormat="0" applyBorder="0" applyAlignment="0" applyProtection="0"/>
    <xf numFmtId="0" fontId="6" fillId="19" borderId="0" applyNumberFormat="0" applyBorder="0" applyAlignment="0" applyProtection="0"/>
    <xf numFmtId="0" fontId="6" fillId="36" borderId="0" applyNumberFormat="0" applyBorder="0" applyAlignment="0" applyProtection="0"/>
    <xf numFmtId="0" fontId="38" fillId="19" borderId="0" applyNumberFormat="0" applyBorder="0" applyAlignment="0" applyProtection="0"/>
    <xf numFmtId="0" fontId="6" fillId="1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1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1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1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18" borderId="0" applyNumberFormat="0" applyBorder="0" applyAlignment="0" applyProtection="0"/>
    <xf numFmtId="0" fontId="6" fillId="17" borderId="0" applyNumberFormat="0" applyBorder="0" applyProtection="0">
      <alignment vertical="center" wrapText="1"/>
    </xf>
    <xf numFmtId="0" fontId="6" fillId="18" borderId="0" applyNumberFormat="0" applyBorder="0" applyAlignment="0" applyProtection="0"/>
    <xf numFmtId="0" fontId="6" fillId="18" borderId="0" applyNumberFormat="0" applyBorder="0" applyAlignment="0" applyProtection="0"/>
    <xf numFmtId="0" fontId="38" fillId="27"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Protection="0">
      <alignment vertical="center" wrapText="1"/>
    </xf>
    <xf numFmtId="0" fontId="6" fillId="27"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Protection="0">
      <alignment vertical="center" wrapText="1"/>
    </xf>
    <xf numFmtId="0" fontId="6" fillId="27" borderId="0" applyNumberFormat="0" applyBorder="0" applyAlignment="0" applyProtection="0"/>
    <xf numFmtId="0" fontId="6" fillId="27" borderId="0" applyNumberFormat="0" applyBorder="0" applyAlignment="0" applyProtection="0"/>
    <xf numFmtId="0" fontId="38" fillId="38" borderId="0" applyNumberFormat="0" applyBorder="0" applyAlignment="0" applyProtection="0"/>
    <xf numFmtId="0" fontId="6" fillId="3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37" borderId="0" applyNumberFormat="0" applyBorder="0" applyProtection="0">
      <alignment vertical="center" wrapText="1"/>
    </xf>
    <xf numFmtId="0" fontId="6" fillId="3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37" borderId="0" applyNumberFormat="0" applyBorder="0" applyProtection="0">
      <alignment vertical="center" wrapText="1"/>
    </xf>
    <xf numFmtId="0" fontId="6" fillId="38" borderId="0" applyNumberFormat="0" applyBorder="0" applyAlignment="0" applyProtection="0"/>
    <xf numFmtId="0" fontId="6" fillId="3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19" borderId="0" applyNumberFormat="0" applyBorder="0" applyAlignment="0" applyProtection="0"/>
    <xf numFmtId="0" fontId="6" fillId="27" borderId="0" applyNumberFormat="0" applyBorder="0" applyAlignment="0" applyProtection="0"/>
    <xf numFmtId="0" fontId="6" fillId="38"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17" borderId="0" applyNumberFormat="0" applyBorder="0" applyAlignment="0" applyProtection="0"/>
    <xf numFmtId="0" fontId="6" fillId="26" borderId="0" applyNumberFormat="0" applyBorder="0" applyAlignment="0" applyProtection="0"/>
    <xf numFmtId="0" fontId="6" fillId="37"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17" borderId="0" applyNumberFormat="0" applyBorder="0" applyAlignment="0" applyProtection="0"/>
    <xf numFmtId="0" fontId="6" fillId="26" borderId="0" applyNumberFormat="0" applyBorder="0" applyAlignment="0" applyProtection="0"/>
    <xf numFmtId="0" fontId="6" fillId="37"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63" fillId="42" borderId="0" applyNumberFormat="0" applyBorder="0" applyAlignment="0" applyProtection="0"/>
    <xf numFmtId="0" fontId="16" fillId="41"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41" borderId="0" applyNumberFormat="0" applyBorder="0" applyProtection="0">
      <alignment vertical="center" wrapText="1"/>
    </xf>
    <xf numFmtId="0" fontId="16" fillId="42"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41" borderId="0" applyNumberFormat="0" applyBorder="0" applyProtection="0">
      <alignment vertical="center" wrapText="1"/>
    </xf>
    <xf numFmtId="0" fontId="16" fillId="42" borderId="0" applyNumberFormat="0" applyBorder="0" applyAlignment="0" applyProtection="0"/>
    <xf numFmtId="0" fontId="16" fillId="27" borderId="0" applyNumberFormat="0" applyBorder="0" applyAlignment="0" applyProtection="0"/>
    <xf numFmtId="0" fontId="63" fillId="30"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Protection="0">
      <alignment vertical="center" wrapText="1"/>
    </xf>
    <xf numFmtId="0" fontId="16" fillId="30"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Protection="0">
      <alignment vertical="center" wrapText="1"/>
    </xf>
    <xf numFmtId="0" fontId="16" fillId="30" borderId="0" applyNumberFormat="0" applyBorder="0" applyAlignment="0" applyProtection="0"/>
    <xf numFmtId="0" fontId="16" fillId="12"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Protection="0">
      <alignment vertical="center" wrapText="1"/>
    </xf>
    <xf numFmtId="0" fontId="16" fillId="31"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6" fillId="31" borderId="0" applyNumberFormat="0" applyBorder="0" applyAlignment="0" applyProtection="0"/>
    <xf numFmtId="0" fontId="16" fillId="31" borderId="0" applyNumberFormat="0" applyBorder="0" applyProtection="0">
      <alignment vertical="center" wrapText="1"/>
    </xf>
    <xf numFmtId="0" fontId="16" fillId="34" borderId="0" applyNumberFormat="0" applyBorder="0" applyAlignment="0" applyProtection="0"/>
    <xf numFmtId="0" fontId="16" fillId="33" borderId="0" applyNumberFormat="0" applyBorder="0" applyAlignment="0" applyProtection="0"/>
    <xf numFmtId="0" fontId="16" fillId="35" borderId="0" applyNumberFormat="0" applyBorder="0" applyAlignment="0" applyProtection="0"/>
    <xf numFmtId="0" fontId="63" fillId="33"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1" borderId="0" applyNumberFormat="0" applyBorder="0" applyAlignment="0" applyProtection="0"/>
    <xf numFmtId="0" fontId="16" fillId="31" borderId="0" applyNumberFormat="0" applyBorder="0" applyProtection="0">
      <alignment vertical="center" wrapText="1"/>
    </xf>
    <xf numFmtId="0" fontId="16" fillId="31" borderId="0" applyNumberFormat="0" applyBorder="0" applyAlignment="0" applyProtection="0"/>
    <xf numFmtId="0" fontId="16" fillId="31" borderId="0" applyNumberFormat="0" applyBorder="0" applyAlignment="0" applyProtection="0"/>
    <xf numFmtId="0" fontId="63" fillId="43" borderId="0" applyNumberFormat="0" applyBorder="0" applyAlignment="0" applyProtection="0"/>
    <xf numFmtId="0" fontId="16" fillId="25"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5" borderId="0" applyNumberFormat="0" applyBorder="0" applyProtection="0">
      <alignment vertical="center" wrapText="1"/>
    </xf>
    <xf numFmtId="0" fontId="16" fillId="43"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5" borderId="0" applyNumberFormat="0" applyBorder="0" applyProtection="0">
      <alignment vertical="center" wrapText="1"/>
    </xf>
    <xf numFmtId="0" fontId="16" fillId="43" borderId="0" applyNumberFormat="0" applyBorder="0" applyAlignment="0" applyProtection="0"/>
    <xf numFmtId="0" fontId="16" fillId="36" borderId="0" applyNumberFormat="0" applyBorder="0" applyAlignment="0" applyProtection="0"/>
    <xf numFmtId="0" fontId="63" fillId="44"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Protection="0">
      <alignment vertical="center" wrapText="1"/>
    </xf>
    <xf numFmtId="0" fontId="16" fillId="44"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Protection="0">
      <alignment vertical="center" wrapText="1"/>
    </xf>
    <xf numFmtId="0" fontId="16" fillId="44" borderId="0" applyNumberFormat="0" applyBorder="0" applyAlignment="0" applyProtection="0"/>
    <xf numFmtId="0" fontId="16" fillId="44" borderId="0" applyNumberFormat="0" applyBorder="0" applyAlignment="0" applyProtection="0"/>
    <xf numFmtId="0" fontId="63" fillId="46" borderId="0" applyNumberFormat="0" applyBorder="0" applyAlignment="0" applyProtection="0"/>
    <xf numFmtId="0" fontId="16" fillId="45"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45" borderId="0" applyNumberFormat="0" applyBorder="0" applyProtection="0">
      <alignment vertical="center" wrapText="1"/>
    </xf>
    <xf numFmtId="0" fontId="16" fillId="46"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45" borderId="0" applyNumberFormat="0" applyBorder="0" applyProtection="0">
      <alignment vertical="center" wrapText="1"/>
    </xf>
    <xf numFmtId="0" fontId="16" fillId="46" borderId="0" applyNumberFormat="0" applyBorder="0" applyAlignment="0" applyProtection="0"/>
    <xf numFmtId="0" fontId="16" fillId="47" borderId="0" applyNumberFormat="0" applyBorder="0" applyAlignment="0" applyProtection="0"/>
    <xf numFmtId="0" fontId="16" fillId="42"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43" borderId="0" applyNumberFormat="0" applyBorder="0" applyAlignment="0" applyProtection="0"/>
    <xf numFmtId="0" fontId="16" fillId="44" borderId="0" applyNumberFormat="0" applyBorder="0" applyAlignment="0" applyProtection="0"/>
    <xf numFmtId="0" fontId="16" fillId="46" borderId="0" applyNumberFormat="0" applyBorder="0" applyAlignment="0" applyProtection="0"/>
    <xf numFmtId="0" fontId="16" fillId="41" borderId="0" applyNumberFormat="0" applyBorder="0" applyAlignment="0" applyProtection="0"/>
    <xf numFmtId="0" fontId="16" fillId="29" borderId="0" applyNumberFormat="0" applyBorder="0" applyAlignment="0" applyProtection="0"/>
    <xf numFmtId="0" fontId="16" fillId="31" borderId="0" applyNumberFormat="0" applyBorder="0" applyAlignment="0" applyProtection="0"/>
    <xf numFmtId="0" fontId="16" fillId="25" borderId="0" applyNumberFormat="0" applyBorder="0" applyAlignment="0" applyProtection="0"/>
    <xf numFmtId="0" fontId="16" fillId="39" borderId="0" applyNumberFormat="0" applyBorder="0" applyAlignment="0" applyProtection="0"/>
    <xf numFmtId="0" fontId="16" fillId="45" borderId="0" applyNumberFormat="0" applyBorder="0" applyAlignment="0" applyProtection="0"/>
    <xf numFmtId="0" fontId="16" fillId="41" borderId="0" applyNumberFormat="0" applyBorder="0" applyAlignment="0" applyProtection="0"/>
    <xf numFmtId="0" fontId="16" fillId="29" borderId="0" applyNumberFormat="0" applyBorder="0" applyAlignment="0" applyProtection="0"/>
    <xf numFmtId="0" fontId="16" fillId="31" borderId="0" applyNumberFormat="0" applyBorder="0" applyAlignment="0" applyProtection="0"/>
    <xf numFmtId="0" fontId="16" fillId="25" borderId="0" applyNumberFormat="0" applyBorder="0" applyAlignment="0" applyProtection="0"/>
    <xf numFmtId="0" fontId="16" fillId="39" borderId="0" applyNumberFormat="0" applyBorder="0" applyAlignment="0" applyProtection="0"/>
    <xf numFmtId="0" fontId="16" fillId="45" borderId="0" applyNumberFormat="0" applyBorder="0" applyAlignment="0" applyProtection="0"/>
    <xf numFmtId="0" fontId="63" fillId="48"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Protection="0">
      <alignment vertical="center" wrapText="1"/>
    </xf>
    <xf numFmtId="0" fontId="16" fillId="48"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Protection="0">
      <alignment vertical="center" wrapText="1"/>
    </xf>
    <xf numFmtId="0" fontId="16" fillId="48" borderId="0" applyNumberFormat="0" applyBorder="0" applyAlignment="0" applyProtection="0"/>
    <xf numFmtId="0" fontId="16" fillId="44" borderId="0" applyNumberFormat="0" applyBorder="0" applyAlignment="0" applyProtection="0"/>
    <xf numFmtId="0" fontId="63" fillId="49"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Protection="0">
      <alignment vertical="center" wrapText="1"/>
    </xf>
    <xf numFmtId="0" fontId="16" fillId="49"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Protection="0">
      <alignment vertical="center" wrapText="1"/>
    </xf>
    <xf numFmtId="0" fontId="16" fillId="49" borderId="0" applyNumberFormat="0" applyBorder="0" applyAlignment="0" applyProtection="0"/>
    <xf numFmtId="0" fontId="16" fillId="50" borderId="0" applyNumberFormat="0" applyBorder="0" applyAlignment="0" applyProtection="0"/>
    <xf numFmtId="0" fontId="63" fillId="47"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Protection="0">
      <alignment vertical="center" wrapText="1"/>
    </xf>
    <xf numFmtId="0" fontId="16" fillId="47"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Protection="0">
      <alignment vertical="center" wrapText="1"/>
    </xf>
    <xf numFmtId="0" fontId="16" fillId="47" borderId="0" applyNumberFormat="0" applyBorder="0" applyAlignment="0" applyProtection="0"/>
    <xf numFmtId="0" fontId="16" fillId="51" borderId="0" applyNumberFormat="0" applyBorder="0" applyAlignment="0" applyProtection="0"/>
    <xf numFmtId="0" fontId="63" fillId="43"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Protection="0">
      <alignment vertical="center" wrapText="1"/>
    </xf>
    <xf numFmtId="0" fontId="16" fillId="43"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Protection="0">
      <alignment vertical="center" wrapText="1"/>
    </xf>
    <xf numFmtId="0" fontId="16" fillId="43" borderId="0" applyNumberFormat="0" applyBorder="0" applyAlignment="0" applyProtection="0"/>
    <xf numFmtId="0" fontId="16" fillId="38" borderId="0" applyNumberFormat="0" applyBorder="0" applyAlignment="0" applyProtection="0"/>
    <xf numFmtId="0" fontId="63" fillId="44"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Protection="0">
      <alignment vertical="center" wrapText="1"/>
    </xf>
    <xf numFmtId="0" fontId="16" fillId="44"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Protection="0">
      <alignment vertical="center" wrapText="1"/>
    </xf>
    <xf numFmtId="0" fontId="16" fillId="44" borderId="0" applyNumberFormat="0" applyBorder="0" applyAlignment="0" applyProtection="0"/>
    <xf numFmtId="0" fontId="16" fillId="48" borderId="0" applyNumberFormat="0" applyBorder="0" applyAlignment="0" applyProtection="0"/>
    <xf numFmtId="0" fontId="63" fillId="5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Protection="0">
      <alignment vertical="center" wrapText="1"/>
    </xf>
    <xf numFmtId="0" fontId="16" fillId="5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Protection="0">
      <alignment vertical="center" wrapText="1"/>
    </xf>
    <xf numFmtId="0" fontId="16" fillId="50" borderId="0" applyNumberFormat="0" applyBorder="0" applyAlignment="0" applyProtection="0"/>
    <xf numFmtId="0" fontId="16" fillId="47" borderId="0" applyNumberFormat="0" applyBorder="0" applyAlignment="0" applyProtection="0"/>
    <xf numFmtId="0" fontId="18" fillId="28" borderId="1" applyNumberFormat="0" applyProtection="0">
      <alignment vertical="center" wrapText="1"/>
    </xf>
    <xf numFmtId="0" fontId="18" fillId="28" borderId="1" applyNumberFormat="0" applyAlignment="0" applyProtection="0"/>
    <xf numFmtId="0" fontId="18" fillId="28" borderId="1" applyNumberFormat="0" applyAlignment="0" applyProtection="0"/>
    <xf numFmtId="0" fontId="53" fillId="10"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Protection="0">
      <alignment vertical="center" wrapText="1"/>
    </xf>
    <xf numFmtId="0" fontId="17" fillId="10"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Protection="0">
      <alignment vertical="center" wrapText="1"/>
    </xf>
    <xf numFmtId="0" fontId="17" fillId="10" borderId="0" applyNumberFormat="0" applyBorder="0" applyAlignment="0" applyProtection="0"/>
    <xf numFmtId="0" fontId="17" fillId="10" borderId="0" applyNumberFormat="0" applyBorder="0" applyAlignment="0" applyProtection="0"/>
    <xf numFmtId="0" fontId="31" fillId="0" borderId="0" applyNumberFormat="0" applyFill="0" applyBorder="0" applyProtection="0">
      <alignment vertical="center" wrapText="1"/>
    </xf>
    <xf numFmtId="0" fontId="31" fillId="0" borderId="0" applyNumberFormat="0" applyFill="0" applyBorder="0" applyAlignment="0" applyProtection="0"/>
    <xf numFmtId="0" fontId="18" fillId="52" borderId="1" applyNumberFormat="0" applyAlignment="0" applyProtection="0"/>
    <xf numFmtId="0" fontId="18" fillId="52" borderId="1" applyNumberFormat="0" applyAlignment="0" applyProtection="0"/>
    <xf numFmtId="0" fontId="18" fillId="52" borderId="1" applyNumberFormat="0" applyAlignment="0" applyProtection="0"/>
    <xf numFmtId="0" fontId="18" fillId="52" borderId="1" applyNumberFormat="0" applyAlignment="0" applyProtection="0"/>
    <xf numFmtId="0" fontId="18" fillId="52" borderId="1" applyNumberFormat="0" applyAlignment="0" applyProtection="0"/>
    <xf numFmtId="0" fontId="18" fillId="52" borderId="1" applyNumberFormat="0" applyAlignment="0" applyProtection="0"/>
    <xf numFmtId="0" fontId="18" fillId="52" borderId="1" applyNumberFormat="0" applyAlignment="0" applyProtection="0"/>
    <xf numFmtId="0" fontId="18" fillId="52" borderId="1" applyNumberFormat="0" applyAlignment="0" applyProtection="0"/>
    <xf numFmtId="0" fontId="18" fillId="52" borderId="1" applyNumberFormat="0" applyAlignment="0" applyProtection="0"/>
    <xf numFmtId="0" fontId="18" fillId="28" borderId="1" applyNumberFormat="0" applyProtection="0">
      <alignment vertical="center" wrapText="1"/>
    </xf>
    <xf numFmtId="0" fontId="18" fillId="52" borderId="1" applyNumberFormat="0" applyAlignment="0" applyProtection="0"/>
    <xf numFmtId="0" fontId="18" fillId="28" borderId="1" applyNumberFormat="0" applyAlignment="0" applyProtection="0"/>
    <xf numFmtId="0" fontId="18" fillId="28" borderId="1" applyNumberFormat="0" applyAlignment="0" applyProtection="0"/>
    <xf numFmtId="0" fontId="18" fillId="35" borderId="1" applyNumberFormat="0" applyAlignment="0" applyProtection="0"/>
    <xf numFmtId="0" fontId="18" fillId="52" borderId="1" applyNumberFormat="0" applyAlignment="0" applyProtection="0"/>
    <xf numFmtId="0" fontId="18" fillId="28" borderId="1" applyNumberFormat="0" applyProtection="0">
      <alignment vertical="center" wrapText="1"/>
    </xf>
    <xf numFmtId="0" fontId="18" fillId="53" borderId="1" applyNumberFormat="0" applyAlignment="0" applyProtection="0"/>
    <xf numFmtId="0" fontId="18" fillId="35" borderId="1" applyNumberFormat="0" applyAlignment="0" applyProtection="0"/>
    <xf numFmtId="0" fontId="18" fillId="35" borderId="1" applyNumberFormat="0" applyAlignment="0" applyProtection="0"/>
    <xf numFmtId="0" fontId="57" fillId="35" borderId="1" applyNumberFormat="0" applyAlignment="0" applyProtection="0"/>
    <xf numFmtId="0" fontId="18" fillId="52" borderId="1" applyNumberFormat="0" applyAlignment="0" applyProtection="0"/>
    <xf numFmtId="0" fontId="18" fillId="28" borderId="1" applyNumberFormat="0" applyAlignment="0" applyProtection="0"/>
    <xf numFmtId="0" fontId="18" fillId="28" borderId="1" applyNumberFormat="0" applyAlignment="0" applyProtection="0"/>
    <xf numFmtId="0" fontId="18" fillId="52" borderId="1" applyNumberFormat="0" applyAlignment="0" applyProtection="0"/>
    <xf numFmtId="0" fontId="18" fillId="28" borderId="1" applyNumberFormat="0" applyAlignment="0" applyProtection="0"/>
    <xf numFmtId="0" fontId="18" fillId="28" borderId="1" applyNumberFormat="0" applyAlignment="0" applyProtection="0"/>
    <xf numFmtId="0" fontId="18" fillId="52" borderId="1" applyNumberFormat="0" applyAlignment="0" applyProtection="0"/>
    <xf numFmtId="0" fontId="18" fillId="28" borderId="1" applyNumberFormat="0" applyAlignment="0" applyProtection="0"/>
    <xf numFmtId="0" fontId="18" fillId="28" borderId="1" applyNumberFormat="0" applyAlignment="0" applyProtection="0"/>
    <xf numFmtId="0" fontId="18" fillId="52" borderId="1" applyNumberFormat="0" applyAlignment="0" applyProtection="0"/>
    <xf numFmtId="0" fontId="18" fillId="28" borderId="1" applyNumberFormat="0" applyAlignment="0" applyProtection="0"/>
    <xf numFmtId="0" fontId="18" fillId="28" borderId="1" applyNumberFormat="0" applyAlignment="0" applyProtection="0"/>
    <xf numFmtId="0" fontId="18" fillId="52" borderId="1" applyNumberFormat="0" applyAlignment="0" applyProtection="0"/>
    <xf numFmtId="0" fontId="18" fillId="28" borderId="1" applyNumberFormat="0" applyProtection="0">
      <alignment vertical="center" wrapText="1"/>
    </xf>
    <xf numFmtId="0" fontId="18" fillId="52" borderId="1" applyNumberFormat="0" applyAlignment="0" applyProtection="0"/>
    <xf numFmtId="0" fontId="18" fillId="52" borderId="1" applyNumberFormat="0" applyAlignment="0" applyProtection="0"/>
    <xf numFmtId="0" fontId="59" fillId="51" borderId="2" applyNumberFormat="0" applyAlignment="0" applyProtection="0"/>
    <xf numFmtId="0" fontId="19" fillId="54" borderId="2" applyNumberFormat="0" applyAlignment="0" applyProtection="0"/>
    <xf numFmtId="0" fontId="19" fillId="54" borderId="2" applyNumberFormat="0" applyAlignment="0" applyProtection="0"/>
    <xf numFmtId="0" fontId="19" fillId="54" borderId="2" applyNumberFormat="0" applyAlignment="0" applyProtection="0"/>
    <xf numFmtId="0" fontId="19" fillId="54" borderId="2" applyNumberFormat="0" applyProtection="0">
      <alignment vertical="center" wrapText="1"/>
    </xf>
    <xf numFmtId="0" fontId="19" fillId="51" borderId="2" applyNumberFormat="0" applyAlignment="0" applyProtection="0"/>
    <xf numFmtId="0" fontId="19" fillId="54" borderId="2" applyNumberFormat="0" applyAlignment="0" applyProtection="0"/>
    <xf numFmtId="0" fontId="19" fillId="54" borderId="2" applyNumberFormat="0" applyAlignment="0" applyProtection="0"/>
    <xf numFmtId="0" fontId="19" fillId="54" borderId="2" applyNumberFormat="0" applyAlignment="0" applyProtection="0"/>
    <xf numFmtId="0" fontId="19" fillId="54" borderId="2" applyNumberFormat="0" applyAlignment="0" applyProtection="0"/>
    <xf numFmtId="0" fontId="19" fillId="54" borderId="2" applyNumberFormat="0" applyProtection="0">
      <alignment vertical="center" wrapText="1"/>
    </xf>
    <xf numFmtId="0" fontId="19" fillId="51" borderId="2" applyNumberFormat="0" applyAlignment="0" applyProtection="0"/>
    <xf numFmtId="0" fontId="19" fillId="51" borderId="2" applyNumberFormat="0" applyAlignment="0" applyProtection="0"/>
    <xf numFmtId="43" fontId="1" fillId="0" borderId="0" applyFont="0" applyFill="0" applyBorder="0" applyAlignment="0" applyProtection="0"/>
    <xf numFmtId="169" fontId="6" fillId="0" borderId="0" applyFill="0" applyBorder="0" applyAlignment="0" applyProtection="0"/>
    <xf numFmtId="168" fontId="6" fillId="0" borderId="0" applyFill="0" applyBorder="0" applyAlignment="0" applyProtection="0"/>
    <xf numFmtId="169" fontId="6" fillId="0" borderId="0" applyFill="0" applyBorder="0" applyAlignment="0" applyProtection="0"/>
    <xf numFmtId="168" fontId="6" fillId="0" borderId="0" applyFill="0" applyBorder="0" applyAlignment="0" applyProtection="0"/>
    <xf numFmtId="169" fontId="6" fillId="0" borderId="0" applyFill="0" applyBorder="0" applyAlignment="0" applyProtection="0"/>
    <xf numFmtId="168" fontId="6" fillId="0" borderId="0" applyFill="0" applyBorder="0" applyAlignment="0" applyProtection="0"/>
    <xf numFmtId="169" fontId="6" fillId="0" borderId="0" applyFill="0" applyBorder="0" applyAlignment="0" applyProtection="0"/>
    <xf numFmtId="168" fontId="6" fillId="0" borderId="0" applyFill="0" applyBorder="0" applyAlignment="0" applyProtection="0"/>
    <xf numFmtId="169" fontId="6" fillId="0" borderId="0" applyFill="0" applyBorder="0" applyAlignment="0" applyProtection="0"/>
    <xf numFmtId="168" fontId="6" fillId="0" borderId="0" applyFill="0" applyBorder="0" applyAlignment="0" applyProtection="0"/>
    <xf numFmtId="169" fontId="6" fillId="0" borderId="0" applyFill="0" applyBorder="0" applyAlignment="0" applyProtection="0"/>
    <xf numFmtId="168" fontId="6" fillId="0" borderId="0" applyFill="0" applyBorder="0" applyAlignment="0" applyProtection="0"/>
    <xf numFmtId="169" fontId="6" fillId="0" borderId="0" applyFill="0" applyBorder="0" applyAlignment="0" applyProtection="0"/>
    <xf numFmtId="168" fontId="6" fillId="0" borderId="0" applyFill="0" applyBorder="0" applyAlignment="0" applyProtection="0"/>
    <xf numFmtId="169" fontId="6" fillId="0" borderId="0" applyFill="0" applyBorder="0" applyAlignment="0" applyProtection="0"/>
    <xf numFmtId="168" fontId="6" fillId="0" borderId="0" applyFill="0" applyBorder="0" applyAlignment="0" applyProtection="0"/>
    <xf numFmtId="169" fontId="6" fillId="0" borderId="0" applyFill="0" applyBorder="0" applyAlignment="0" applyProtection="0"/>
    <xf numFmtId="168" fontId="6" fillId="0" borderId="0" applyFill="0" applyBorder="0" applyAlignment="0" applyProtection="0"/>
    <xf numFmtId="169" fontId="6" fillId="0" borderId="0" applyFill="0" applyBorder="0" applyAlignment="0" applyProtection="0"/>
    <xf numFmtId="168" fontId="6" fillId="0" borderId="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43" fontId="7" fillId="0" borderId="0" applyFont="0" applyFill="0" applyBorder="0" applyAlignment="0" applyProtection="0"/>
    <xf numFmtId="169" fontId="6" fillId="0" borderId="0" applyFill="0" applyBorder="0" applyAlignment="0" applyProtection="0"/>
    <xf numFmtId="43" fontId="7" fillId="0" borderId="0" applyFont="0" applyFill="0" applyBorder="0" applyAlignment="0" applyProtection="0"/>
    <xf numFmtId="168" fontId="6" fillId="0" borderId="0" applyFill="0" applyBorder="0" applyAlignment="0" applyProtection="0"/>
    <xf numFmtId="169" fontId="6" fillId="0" borderId="0" applyFill="0" applyBorder="0" applyAlignment="0" applyProtection="0"/>
    <xf numFmtId="166" fontId="7" fillId="0" borderId="0" applyFill="0" applyBorder="0" applyAlignment="0" applyProtection="0"/>
    <xf numFmtId="164" fontId="3"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169" fontId="6" fillId="0" borderId="0" applyFill="0" applyBorder="0" applyAlignment="0" applyProtection="0"/>
    <xf numFmtId="168" fontId="6" fillId="0" borderId="0" applyFill="0" applyBorder="0" applyAlignment="0" applyProtection="0"/>
    <xf numFmtId="165" fontId="7"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6" fillId="0" borderId="0" applyFill="0" applyBorder="0" applyAlignment="0" applyProtection="0"/>
    <xf numFmtId="168"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43" fontId="3" fillId="0" borderId="0" applyFont="0" applyFill="0" applyBorder="0" applyAlignment="0" applyProtection="0"/>
    <xf numFmtId="169" fontId="6" fillId="0" borderId="0" applyFill="0" applyBorder="0" applyAlignment="0" applyProtection="0"/>
    <xf numFmtId="168"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43" fontId="3" fillId="0" borderId="0" applyFont="0" applyFill="0" applyBorder="0" applyAlignment="0" applyProtection="0"/>
    <xf numFmtId="169" fontId="6" fillId="0" borderId="0" applyFill="0" applyBorder="0" applyAlignment="0" applyProtection="0"/>
    <xf numFmtId="168"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6" fillId="0" borderId="0" applyFill="0" applyBorder="0" applyAlignment="0" applyProtection="0"/>
    <xf numFmtId="168"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6" fillId="0" borderId="0" applyFill="0" applyBorder="0" applyAlignment="0" applyProtection="0"/>
    <xf numFmtId="168"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6" fillId="0" borderId="0" applyFill="0" applyBorder="0" applyAlignment="0" applyProtection="0"/>
    <xf numFmtId="168" fontId="6" fillId="0" borderId="0" applyFill="0" applyBorder="0" applyAlignment="0" applyProtection="0"/>
    <xf numFmtId="0" fontId="6" fillId="0" borderId="0"/>
    <xf numFmtId="0" fontId="33" fillId="0" borderId="0"/>
    <xf numFmtId="0" fontId="6" fillId="0" borderId="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Protection="0">
      <alignment vertical="center" wrapText="1"/>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Protection="0">
      <alignment vertical="center" wrapText="1"/>
    </xf>
    <xf numFmtId="0" fontId="20" fillId="0" borderId="0" applyNumberFormat="0" applyFill="0" applyBorder="0" applyAlignment="0" applyProtection="0"/>
    <xf numFmtId="0" fontId="61" fillId="0" borderId="0" applyNumberFormat="0" applyFill="0" applyBorder="0" applyAlignment="0" applyProtection="0"/>
    <xf numFmtId="0" fontId="52" fillId="14" borderId="0" applyNumberFormat="0" applyBorder="0" applyAlignment="0" applyProtection="0"/>
    <xf numFmtId="0" fontId="65" fillId="14"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Protection="0">
      <alignment vertical="center" wrapText="1"/>
    </xf>
    <xf numFmtId="0" fontId="21" fillId="14"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Protection="0">
      <alignment vertical="center" wrapText="1"/>
    </xf>
    <xf numFmtId="0" fontId="21" fillId="14" borderId="0" applyNumberFormat="0" applyBorder="0" applyAlignment="0" applyProtection="0"/>
    <xf numFmtId="0" fontId="21" fillId="14" borderId="0" applyNumberFormat="0" applyBorder="0" applyAlignment="0" applyProtection="0"/>
    <xf numFmtId="0" fontId="17" fillId="9" borderId="0" applyNumberFormat="0" applyBorder="0" applyAlignment="0" applyProtection="0"/>
    <xf numFmtId="0" fontId="21" fillId="13" borderId="0" applyNumberFormat="0" applyBorder="0" applyAlignment="0" applyProtection="0"/>
    <xf numFmtId="0" fontId="49" fillId="0" borderId="3" applyNumberFormat="0" applyFill="0" applyAlignment="0" applyProtection="0"/>
    <xf numFmtId="0" fontId="9" fillId="0" borderId="3"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9" fillId="0" borderId="3" applyNumberFormat="0" applyFill="0" applyProtection="0">
      <alignment vertical="center" wrapText="1"/>
    </xf>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9" fillId="0" borderId="3" applyNumberFormat="0" applyFill="0" applyProtection="0">
      <alignment vertical="center" wrapText="1"/>
    </xf>
    <xf numFmtId="0" fontId="35" fillId="0" borderId="0">
      <alignment horizontal="center"/>
    </xf>
    <xf numFmtId="0" fontId="22" fillId="0" borderId="4" applyNumberFormat="0" applyFill="0" applyAlignment="0" applyProtection="0"/>
    <xf numFmtId="0" fontId="10" fillId="0" borderId="5"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10" fillId="0" borderId="5" applyNumberFormat="0" applyFill="0" applyProtection="0">
      <alignment vertical="center" wrapText="1"/>
    </xf>
    <xf numFmtId="0" fontId="36" fillId="0" borderId="5"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10" fillId="0" borderId="5" applyNumberFormat="0" applyFill="0" applyProtection="0">
      <alignment vertical="center" wrapText="1"/>
    </xf>
    <xf numFmtId="0" fontId="23" fillId="0" borderId="6" applyNumberFormat="0" applyFill="0" applyAlignment="0" applyProtection="0"/>
    <xf numFmtId="0" fontId="50" fillId="0" borderId="5" applyNumberFormat="0" applyFill="0" applyAlignment="0" applyProtection="0"/>
    <xf numFmtId="0" fontId="11" fillId="0" borderId="7" applyNumberFormat="0" applyFill="0" applyAlignment="0" applyProtection="0"/>
    <xf numFmtId="0" fontId="37" fillId="0" borderId="8" applyNumberFormat="0" applyFill="0" applyAlignment="0" applyProtection="0"/>
    <xf numFmtId="0" fontId="37" fillId="0" borderId="8" applyNumberFormat="0" applyFill="0" applyAlignment="0" applyProtection="0"/>
    <xf numFmtId="0" fontId="11" fillId="0" borderId="7" applyNumberFormat="0" applyFill="0" applyProtection="0">
      <alignment vertical="center" wrapText="1"/>
    </xf>
    <xf numFmtId="0" fontId="37" fillId="0" borderId="8" applyNumberFormat="0" applyFill="0" applyAlignment="0" applyProtection="0"/>
    <xf numFmtId="0" fontId="37" fillId="0" borderId="8" applyNumberFormat="0" applyFill="0" applyAlignment="0" applyProtection="0"/>
    <xf numFmtId="0" fontId="37" fillId="0" borderId="8" applyNumberFormat="0" applyFill="0" applyAlignment="0" applyProtection="0"/>
    <xf numFmtId="0" fontId="37" fillId="0" borderId="8" applyNumberFormat="0" applyFill="0" applyAlignment="0" applyProtection="0"/>
    <xf numFmtId="0" fontId="11" fillId="0" borderId="7" applyNumberFormat="0" applyFill="0" applyProtection="0">
      <alignment vertical="center" wrapText="1"/>
    </xf>
    <xf numFmtId="0" fontId="24" fillId="0" borderId="9" applyNumberFormat="0" applyFill="0" applyAlignment="0" applyProtection="0"/>
    <xf numFmtId="0" fontId="51" fillId="0" borderId="7" applyNumberFormat="0" applyFill="0" applyAlignment="0" applyProtection="0"/>
    <xf numFmtId="0" fontId="1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1" fillId="0" borderId="0" applyNumberFormat="0" applyFill="0" applyBorder="0" applyProtection="0">
      <alignment vertical="center" wrapText="1"/>
    </xf>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1" fillId="0" borderId="0" applyNumberFormat="0" applyFill="0" applyBorder="0" applyProtection="0">
      <alignment vertical="center" wrapText="1"/>
    </xf>
    <xf numFmtId="0" fontId="24" fillId="0" borderId="0" applyNumberFormat="0" applyFill="0" applyBorder="0" applyAlignment="0" applyProtection="0"/>
    <xf numFmtId="0" fontId="51" fillId="0" borderId="0" applyNumberFormat="0" applyFill="0" applyBorder="0" applyAlignment="0" applyProtection="0"/>
    <xf numFmtId="0" fontId="35" fillId="0" borderId="0">
      <alignment horizontal="center" textRotation="90"/>
    </xf>
    <xf numFmtId="0" fontId="31" fillId="0" borderId="0" applyNumberFormat="0" applyFill="0" applyBorder="0" applyAlignment="0" applyProtection="0"/>
    <xf numFmtId="0" fontId="25" fillId="11" borderId="1" applyNumberFormat="0" applyProtection="0">
      <alignment vertical="center" wrapText="1"/>
    </xf>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Protection="0">
      <alignment vertical="center" wrapText="1"/>
    </xf>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2" borderId="1" applyNumberFormat="0" applyAlignment="0" applyProtection="0"/>
    <xf numFmtId="0" fontId="25" fillId="11" borderId="1" applyNumberFormat="0" applyAlignment="0" applyProtection="0"/>
    <xf numFmtId="0" fontId="25" fillId="11" borderId="1" applyNumberFormat="0" applyProtection="0">
      <alignment vertical="center" wrapText="1"/>
    </xf>
    <xf numFmtId="0" fontId="25" fillId="23" borderId="1" applyNumberFormat="0" applyAlignment="0" applyProtection="0"/>
    <xf numFmtId="0" fontId="25" fillId="12" borderId="1" applyNumberFormat="0" applyAlignment="0" applyProtection="0"/>
    <xf numFmtId="0" fontId="25" fillId="12" borderId="1" applyNumberFormat="0" applyAlignment="0" applyProtection="0"/>
    <xf numFmtId="0" fontId="55" fillId="12"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Alignment="0" applyProtection="0"/>
    <xf numFmtId="0" fontId="25" fillId="11" borderId="1" applyNumberFormat="0" applyProtection="0">
      <alignment vertical="center" wrapText="1"/>
    </xf>
    <xf numFmtId="0" fontId="25" fillId="11" borderId="1" applyNumberFormat="0" applyAlignment="0" applyProtection="0"/>
    <xf numFmtId="0" fontId="25" fillId="11" borderId="1" applyNumberFormat="0" applyAlignment="0" applyProtection="0"/>
    <xf numFmtId="0" fontId="16" fillId="48" borderId="0" applyNumberFormat="0" applyBorder="0" applyAlignment="0" applyProtection="0"/>
    <xf numFmtId="0" fontId="16" fillId="49" borderId="0" applyNumberFormat="0" applyBorder="0" applyAlignment="0" applyProtection="0"/>
    <xf numFmtId="0" fontId="16" fillId="47" borderId="0" applyNumberFormat="0" applyBorder="0" applyAlignment="0" applyProtection="0"/>
    <xf numFmtId="0" fontId="16" fillId="43" borderId="0" applyNumberFormat="0" applyBorder="0" applyAlignment="0" applyProtection="0"/>
    <xf numFmtId="0" fontId="16" fillId="44" borderId="0" applyNumberFormat="0" applyBorder="0" applyAlignment="0" applyProtection="0"/>
    <xf numFmtId="0" fontId="16" fillId="50" borderId="0" applyNumberFormat="0" applyBorder="0" applyAlignment="0" applyProtection="0"/>
    <xf numFmtId="0" fontId="28" fillId="28" borderId="10" applyNumberFormat="0" applyProtection="0">
      <alignment vertical="center" wrapText="1"/>
    </xf>
    <xf numFmtId="0" fontId="28" fillId="28" borderId="10" applyNumberFormat="0" applyAlignment="0" applyProtection="0"/>
    <xf numFmtId="0" fontId="30" fillId="0" borderId="11" applyNumberFormat="0" applyFill="0" applyAlignment="0" applyProtection="0"/>
    <xf numFmtId="0" fontId="19" fillId="54" borderId="2" applyNumberFormat="0" applyAlignment="0" applyProtection="0"/>
    <xf numFmtId="0" fontId="30" fillId="0" borderId="11" applyNumberFormat="0" applyFill="0" applyProtection="0">
      <alignment vertical="center" wrapText="1"/>
    </xf>
    <xf numFmtId="0" fontId="30" fillId="0" borderId="11" applyNumberFormat="0" applyFill="0" applyAlignment="0" applyProtection="0"/>
    <xf numFmtId="0" fontId="67" fillId="0" borderId="12">
      <alignment vertical="center"/>
    </xf>
    <xf numFmtId="0" fontId="21" fillId="13" borderId="0" applyNumberFormat="0" applyBorder="0" applyAlignment="0" applyProtection="0"/>
    <xf numFmtId="0" fontId="68" fillId="0" borderId="12">
      <alignment vertical="center"/>
    </xf>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Protection="0">
      <alignment vertical="center" wrapText="1"/>
    </xf>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Protection="0">
      <alignment vertical="center" wrapText="1"/>
    </xf>
    <xf numFmtId="0" fontId="26" fillId="0" borderId="13" applyNumberFormat="0" applyFill="0" applyAlignment="0" applyProtection="0"/>
    <xf numFmtId="0" fontId="58" fillId="0" borderId="13" applyNumberFormat="0" applyFill="0" applyAlignment="0" applyProtection="0"/>
    <xf numFmtId="0" fontId="15" fillId="15" borderId="14" applyNumberFormat="0" applyAlignment="0" applyProtection="0"/>
    <xf numFmtId="0" fontId="27" fillId="32" borderId="0" applyNumberFormat="0" applyBorder="0" applyProtection="0">
      <alignment vertical="center" wrapText="1"/>
    </xf>
    <xf numFmtId="0" fontId="27" fillId="32" borderId="0" applyNumberFormat="0" applyBorder="0" applyAlignment="0" applyProtection="0"/>
    <xf numFmtId="0" fontId="27" fillId="32" borderId="0" applyNumberFormat="0" applyBorder="0" applyAlignment="0" applyProtection="0"/>
    <xf numFmtId="0" fontId="54" fillId="36"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Protection="0">
      <alignment vertical="center" wrapText="1"/>
    </xf>
    <xf numFmtId="0" fontId="27" fillId="36"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Protection="0">
      <alignment vertical="center" wrapText="1"/>
    </xf>
    <xf numFmtId="0" fontId="27" fillId="36" borderId="0" applyNumberFormat="0" applyBorder="0" applyAlignment="0" applyProtection="0"/>
    <xf numFmtId="0" fontId="27" fillId="36" borderId="0" applyNumberFormat="0" applyBorder="0" applyAlignment="0" applyProtection="0"/>
    <xf numFmtId="0" fontId="4" fillId="0" borderId="0"/>
    <xf numFmtId="0" fontId="4" fillId="0" borderId="0">
      <alignment vertical="center" wrapText="1"/>
    </xf>
    <xf numFmtId="0" fontId="87" fillId="0" borderId="0"/>
    <xf numFmtId="0" fontId="4" fillId="0" borderId="0"/>
    <xf numFmtId="0" fontId="4" fillId="0" borderId="0"/>
    <xf numFmtId="0" fontId="43" fillId="0" borderId="0"/>
    <xf numFmtId="0" fontId="3" fillId="0" borderId="0"/>
    <xf numFmtId="0" fontId="3" fillId="0" borderId="0"/>
    <xf numFmtId="0" fontId="66" fillId="0" borderId="0"/>
    <xf numFmtId="0" fontId="4" fillId="0" borderId="0"/>
    <xf numFmtId="0" fontId="7" fillId="0" borderId="0"/>
    <xf numFmtId="0" fontId="7" fillId="0" borderId="0"/>
    <xf numFmtId="0" fontId="88" fillId="0" borderId="0"/>
    <xf numFmtId="0" fontId="4" fillId="0" borderId="0"/>
    <xf numFmtId="0" fontId="4" fillId="0" borderId="0"/>
    <xf numFmtId="0" fontId="4" fillId="0" borderId="0">
      <alignment vertical="center" wrapText="1"/>
    </xf>
    <xf numFmtId="0" fontId="5" fillId="0" borderId="0">
      <alignment vertical="center" wrapText="1"/>
    </xf>
    <xf numFmtId="0" fontId="3" fillId="0" borderId="0"/>
    <xf numFmtId="0" fontId="4" fillId="0" borderId="0">
      <alignment vertical="center" wrapText="1"/>
    </xf>
    <xf numFmtId="0" fontId="5" fillId="0" borderId="0">
      <alignment vertical="center" wrapText="1"/>
    </xf>
    <xf numFmtId="0" fontId="4" fillId="0" borderId="0">
      <alignment vertical="center" wrapText="1"/>
    </xf>
    <xf numFmtId="0" fontId="4" fillId="0" borderId="0">
      <alignment vertical="center" wrapText="1"/>
    </xf>
    <xf numFmtId="0" fontId="5" fillId="0" borderId="0">
      <alignment vertical="center" wrapText="1"/>
    </xf>
    <xf numFmtId="0" fontId="7" fillId="0" borderId="0"/>
    <xf numFmtId="0" fontId="4" fillId="0" borderId="0">
      <alignment vertical="center" wrapText="1"/>
    </xf>
    <xf numFmtId="0" fontId="4" fillId="0" borderId="0"/>
    <xf numFmtId="0" fontId="4" fillId="0" borderId="0"/>
    <xf numFmtId="0" fontId="4" fillId="0" borderId="0">
      <alignment vertical="center" wrapText="1"/>
    </xf>
    <xf numFmtId="0" fontId="4" fillId="0" borderId="0">
      <alignment vertical="center" wrapText="1"/>
    </xf>
    <xf numFmtId="0" fontId="5" fillId="0" borderId="0">
      <alignment vertical="center" wrapText="1"/>
    </xf>
    <xf numFmtId="0" fontId="89" fillId="0" borderId="0"/>
    <xf numFmtId="0" fontId="8" fillId="0" borderId="0"/>
    <xf numFmtId="0" fontId="7" fillId="0" borderId="0"/>
    <xf numFmtId="0" fontId="4" fillId="0" borderId="0"/>
    <xf numFmtId="0" fontId="4" fillId="0" borderId="0"/>
    <xf numFmtId="0" fontId="12" fillId="0" borderId="0"/>
    <xf numFmtId="0" fontId="4" fillId="0" borderId="0"/>
    <xf numFmtId="0" fontId="7" fillId="0" borderId="0"/>
    <xf numFmtId="0" fontId="89" fillId="0" borderId="0"/>
    <xf numFmtId="0" fontId="4" fillId="0" borderId="0"/>
    <xf numFmtId="0" fontId="3" fillId="0" borderId="0"/>
    <xf numFmtId="0" fontId="4" fillId="0" borderId="0"/>
    <xf numFmtId="0" fontId="4" fillId="0" borderId="0"/>
    <xf numFmtId="0" fontId="12" fillId="0" borderId="0"/>
    <xf numFmtId="0" fontId="3" fillId="0" borderId="0"/>
    <xf numFmtId="0" fontId="42"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wrapText="1"/>
    </xf>
    <xf numFmtId="0" fontId="5" fillId="0" borderId="0">
      <alignment vertical="center" wrapText="1"/>
    </xf>
    <xf numFmtId="0" fontId="4" fillId="0" borderId="0">
      <alignment vertical="center" wrapText="1"/>
    </xf>
    <xf numFmtId="0" fontId="5" fillId="0" borderId="0">
      <alignment vertical="center" wrapText="1"/>
    </xf>
    <xf numFmtId="0" fontId="4" fillId="0" borderId="0"/>
    <xf numFmtId="0" fontId="5" fillId="0" borderId="0"/>
    <xf numFmtId="0" fontId="15" fillId="0" borderId="0"/>
    <xf numFmtId="0" fontId="5" fillId="0" borderId="0"/>
    <xf numFmtId="0" fontId="6" fillId="0" borderId="0"/>
    <xf numFmtId="0" fontId="45" fillId="0" borderId="0"/>
    <xf numFmtId="0" fontId="15" fillId="0" borderId="0"/>
    <xf numFmtId="0" fontId="4" fillId="0" borderId="0"/>
    <xf numFmtId="0" fontId="5" fillId="0" borderId="0"/>
    <xf numFmtId="0" fontId="6" fillId="0" borderId="0"/>
    <xf numFmtId="0" fontId="3" fillId="0" borderId="0"/>
    <xf numFmtId="0" fontId="6" fillId="0" borderId="0"/>
    <xf numFmtId="0" fontId="4" fillId="0" borderId="0"/>
    <xf numFmtId="0" fontId="4" fillId="0" borderId="0"/>
    <xf numFmtId="0" fontId="4" fillId="0" borderId="0"/>
    <xf numFmtId="0" fontId="4" fillId="0" borderId="0"/>
    <xf numFmtId="0" fontId="6" fillId="0" borderId="0"/>
    <xf numFmtId="0" fontId="6" fillId="0" borderId="0"/>
    <xf numFmtId="0" fontId="7" fillId="0" borderId="0"/>
    <xf numFmtId="0" fontId="6" fillId="0" borderId="0"/>
    <xf numFmtId="0" fontId="4" fillId="0" borderId="0"/>
    <xf numFmtId="0" fontId="6" fillId="0" borderId="0"/>
    <xf numFmtId="0" fontId="3" fillId="0" borderId="0"/>
    <xf numFmtId="0" fontId="47" fillId="0" borderId="0"/>
    <xf numFmtId="0" fontId="14" fillId="0" borderId="0"/>
    <xf numFmtId="0" fontId="4" fillId="0" borderId="0">
      <alignment vertical="center" wrapText="1"/>
    </xf>
    <xf numFmtId="0" fontId="4" fillId="0" borderId="0">
      <alignment vertical="center" wrapText="1"/>
    </xf>
    <xf numFmtId="0" fontId="6" fillId="0" borderId="0"/>
    <xf numFmtId="0" fontId="4" fillId="0" borderId="0">
      <alignment vertical="center" wrapText="1"/>
    </xf>
    <xf numFmtId="0" fontId="7" fillId="0" borderId="0"/>
    <xf numFmtId="0" fontId="4" fillId="0" borderId="0"/>
    <xf numFmtId="0" fontId="7" fillId="0" borderId="0"/>
    <xf numFmtId="0" fontId="43" fillId="0" borderId="0"/>
    <xf numFmtId="0" fontId="3" fillId="0" borderId="0"/>
    <xf numFmtId="0" fontId="3" fillId="0" borderId="0"/>
    <xf numFmtId="0" fontId="87" fillId="0" borderId="0"/>
    <xf numFmtId="0" fontId="38" fillId="0" borderId="0"/>
    <xf numFmtId="0" fontId="44" fillId="0" borderId="0"/>
    <xf numFmtId="0" fontId="44" fillId="0" borderId="0"/>
    <xf numFmtId="0" fontId="47" fillId="0" borderId="0" applyNumberFormat="0" applyFont="0" applyFill="0" applyBorder="0" applyAlignment="0" applyProtection="0">
      <alignment vertical="top"/>
    </xf>
    <xf numFmtId="0" fontId="47" fillId="0" borderId="0" applyNumberFormat="0" applyFont="0" applyFill="0" applyBorder="0" applyAlignment="0" applyProtection="0">
      <alignment vertical="top"/>
    </xf>
    <xf numFmtId="0" fontId="47"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 fillId="0" borderId="0"/>
    <xf numFmtId="0" fontId="4" fillId="0" borderId="0">
      <alignment vertical="center" wrapText="1"/>
    </xf>
    <xf numFmtId="0" fontId="38" fillId="0" borderId="0"/>
    <xf numFmtId="0" fontId="4" fillId="0" borderId="0"/>
    <xf numFmtId="0" fontId="87" fillId="0" borderId="0"/>
    <xf numFmtId="0" fontId="38" fillId="0" borderId="0"/>
    <xf numFmtId="0" fontId="3" fillId="0" borderId="0" applyNumberFormat="0" applyFont="0" applyFill="0" applyBorder="0" applyAlignment="0" applyProtection="0">
      <alignment vertical="top"/>
    </xf>
    <xf numFmtId="0" fontId="44"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7" fillId="0" borderId="0"/>
    <xf numFmtId="0" fontId="4" fillId="0" borderId="0">
      <alignment vertical="center" wrapText="1"/>
    </xf>
    <xf numFmtId="0" fontId="4" fillId="0" borderId="0"/>
    <xf numFmtId="0" fontId="4" fillId="0" borderId="0"/>
    <xf numFmtId="0" fontId="4" fillId="0" borderId="0"/>
    <xf numFmtId="0" fontId="90" fillId="0" borderId="0"/>
    <xf numFmtId="0" fontId="90" fillId="0" borderId="0"/>
    <xf numFmtId="0" fontId="90" fillId="0" borderId="0"/>
    <xf numFmtId="0" fontId="90" fillId="0" borderId="0"/>
    <xf numFmtId="0" fontId="90" fillId="0" borderId="0"/>
    <xf numFmtId="0" fontId="90" fillId="0" borderId="0"/>
    <xf numFmtId="0" fontId="3" fillId="0" borderId="0"/>
    <xf numFmtId="0" fontId="64" fillId="0" borderId="0"/>
    <xf numFmtId="0" fontId="64" fillId="0" borderId="0"/>
    <xf numFmtId="0" fontId="64" fillId="0" borderId="0"/>
    <xf numFmtId="0" fontId="4" fillId="0" borderId="0"/>
    <xf numFmtId="0" fontId="4" fillId="0" borderId="0">
      <alignment vertical="center" wrapText="1"/>
    </xf>
    <xf numFmtId="0" fontId="66"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4" fillId="0" borderId="0"/>
    <xf numFmtId="0" fontId="4" fillId="0" borderId="0">
      <alignment vertical="center" wrapText="1"/>
    </xf>
    <xf numFmtId="0" fontId="88" fillId="0" borderId="0"/>
    <xf numFmtId="0" fontId="4" fillId="0" borderId="0"/>
    <xf numFmtId="0" fontId="71" fillId="0" borderId="0"/>
    <xf numFmtId="0" fontId="4" fillId="0" borderId="0">
      <alignment vertical="center" wrapText="1"/>
    </xf>
    <xf numFmtId="0" fontId="39" fillId="0" borderId="0">
      <alignment vertical="center" wrapText="1"/>
    </xf>
    <xf numFmtId="0" fontId="87" fillId="0" borderId="0"/>
    <xf numFmtId="0" fontId="6" fillId="0" borderId="0" applyNumberFormat="0" applyFill="0" applyBorder="0" applyAlignment="0" applyProtection="0"/>
    <xf numFmtId="0" fontId="13" fillId="0" borderId="0" applyNumberFormat="0" applyFill="0" applyBorder="0" applyProtection="0">
      <alignment vertical="center" wrapText="1"/>
    </xf>
    <xf numFmtId="0" fontId="13" fillId="0" borderId="0" applyNumberFormat="0" applyFill="0" applyBorder="0" applyAlignment="0" applyProtection="0"/>
    <xf numFmtId="0" fontId="7" fillId="20" borderId="14" applyNumberFormat="0" applyFont="0" applyAlignment="0" applyProtection="0"/>
    <xf numFmtId="0" fontId="4" fillId="15" borderId="14" applyNumberFormat="0" applyAlignment="0" applyProtection="0"/>
    <xf numFmtId="0" fontId="15" fillId="15" borderId="14" applyNumberFormat="0" applyAlignment="0" applyProtection="0"/>
    <xf numFmtId="0" fontId="15" fillId="15" borderId="14" applyNumberFormat="0" applyAlignment="0" applyProtection="0"/>
    <xf numFmtId="0" fontId="4" fillId="15" borderId="14" applyNumberFormat="0" applyProtection="0">
      <alignment vertical="center" wrapText="1"/>
    </xf>
    <xf numFmtId="0" fontId="7" fillId="15" borderId="14" applyNumberFormat="0" applyAlignment="0" applyProtection="0"/>
    <xf numFmtId="0" fontId="4" fillId="20" borderId="14" applyNumberFormat="0" applyFont="0" applyAlignment="0" applyProtection="0"/>
    <xf numFmtId="0" fontId="6" fillId="15" borderId="14" applyNumberFormat="0" applyAlignment="0" applyProtection="0"/>
    <xf numFmtId="0" fontId="4" fillId="15" borderId="14" applyNumberFormat="0" applyAlignment="0" applyProtection="0"/>
    <xf numFmtId="0" fontId="6" fillId="15" borderId="14" applyNumberFormat="0" applyAlignment="0" applyProtection="0"/>
    <xf numFmtId="0" fontId="6" fillId="15" borderId="14" applyNumberFormat="0" applyAlignment="0" applyProtection="0"/>
    <xf numFmtId="0" fontId="6" fillId="15" borderId="14" applyNumberFormat="0" applyAlignment="0" applyProtection="0"/>
    <xf numFmtId="0" fontId="4" fillId="15" borderId="14" applyNumberFormat="0" applyProtection="0">
      <alignment vertical="center" wrapText="1"/>
    </xf>
    <xf numFmtId="0" fontId="3" fillId="20" borderId="14" applyNumberFormat="0" applyFont="0" applyAlignment="0" applyProtection="0"/>
    <xf numFmtId="0" fontId="14" fillId="15" borderId="14" applyNumberFormat="0" applyAlignment="0" applyProtection="0"/>
    <xf numFmtId="0" fontId="28" fillId="52" borderId="10" applyNumberFormat="0" applyAlignment="0" applyProtection="0"/>
    <xf numFmtId="0" fontId="28" fillId="52" borderId="10" applyNumberFormat="0" applyAlignment="0" applyProtection="0"/>
    <xf numFmtId="0" fontId="28" fillId="52" borderId="10" applyNumberFormat="0" applyAlignment="0" applyProtection="0"/>
    <xf numFmtId="0" fontId="28" fillId="52" borderId="10" applyNumberFormat="0" applyAlignment="0" applyProtection="0"/>
    <xf numFmtId="0" fontId="28" fillId="52" borderId="10" applyNumberFormat="0" applyAlignment="0" applyProtection="0"/>
    <xf numFmtId="0" fontId="28" fillId="52" borderId="10" applyNumberFormat="0" applyAlignment="0" applyProtection="0"/>
    <xf numFmtId="0" fontId="28" fillId="52" borderId="10" applyNumberFormat="0" applyAlignment="0" applyProtection="0"/>
    <xf numFmtId="0" fontId="28" fillId="52" borderId="10" applyNumberFormat="0" applyAlignment="0" applyProtection="0"/>
    <xf numFmtId="0" fontId="28" fillId="52" borderId="10" applyNumberFormat="0" applyAlignment="0" applyProtection="0"/>
    <xf numFmtId="0" fontId="28" fillId="28" borderId="10" applyNumberFormat="0" applyProtection="0">
      <alignment vertical="center" wrapText="1"/>
    </xf>
    <xf numFmtId="0" fontId="28" fillId="52" borderId="10" applyNumberFormat="0" applyAlignment="0" applyProtection="0"/>
    <xf numFmtId="0" fontId="28" fillId="28" borderId="10" applyNumberFormat="0" applyAlignment="0" applyProtection="0"/>
    <xf numFmtId="0" fontId="28" fillId="28" borderId="10" applyNumberFormat="0" applyAlignment="0" applyProtection="0"/>
    <xf numFmtId="0" fontId="28" fillId="35" borderId="10" applyNumberFormat="0" applyAlignment="0" applyProtection="0"/>
    <xf numFmtId="0" fontId="28" fillId="52" borderId="10" applyNumberFormat="0" applyAlignment="0" applyProtection="0"/>
    <xf numFmtId="0" fontId="28" fillId="28" borderId="10" applyNumberFormat="0" applyProtection="0">
      <alignment vertical="center" wrapText="1"/>
    </xf>
    <xf numFmtId="0" fontId="28" fillId="53" borderId="10" applyNumberFormat="0" applyAlignment="0" applyProtection="0"/>
    <xf numFmtId="0" fontId="28" fillId="35" borderId="10" applyNumberFormat="0" applyAlignment="0" applyProtection="0"/>
    <xf numFmtId="0" fontId="28" fillId="35" borderId="10" applyNumberFormat="0" applyAlignment="0" applyProtection="0"/>
    <xf numFmtId="0" fontId="56" fillId="35" borderId="10" applyNumberFormat="0" applyAlignment="0" applyProtection="0"/>
    <xf numFmtId="0" fontId="28" fillId="52" borderId="10" applyNumberFormat="0" applyAlignment="0" applyProtection="0"/>
    <xf numFmtId="0" fontId="28" fillId="28" borderId="10" applyNumberFormat="0" applyAlignment="0" applyProtection="0"/>
    <xf numFmtId="0" fontId="28" fillId="28" borderId="10" applyNumberFormat="0" applyAlignment="0" applyProtection="0"/>
    <xf numFmtId="0" fontId="28" fillId="52" borderId="10" applyNumberFormat="0" applyAlignment="0" applyProtection="0"/>
    <xf numFmtId="0" fontId="28" fillId="28" borderId="10" applyNumberFormat="0" applyAlignment="0" applyProtection="0"/>
    <xf numFmtId="0" fontId="28" fillId="28" borderId="10" applyNumberFormat="0" applyAlignment="0" applyProtection="0"/>
    <xf numFmtId="0" fontId="28" fillId="52" borderId="10" applyNumberFormat="0" applyAlignment="0" applyProtection="0"/>
    <xf numFmtId="0" fontId="28" fillId="28" borderId="10" applyNumberFormat="0" applyAlignment="0" applyProtection="0"/>
    <xf numFmtId="0" fontId="28" fillId="28" borderId="10" applyNumberFormat="0" applyAlignment="0" applyProtection="0"/>
    <xf numFmtId="0" fontId="28" fillId="52" borderId="10" applyNumberFormat="0" applyAlignment="0" applyProtection="0"/>
    <xf numFmtId="0" fontId="28" fillId="28" borderId="10" applyNumberFormat="0" applyAlignment="0" applyProtection="0"/>
    <xf numFmtId="0" fontId="28" fillId="28" borderId="10" applyNumberFormat="0" applyAlignment="0" applyProtection="0"/>
    <xf numFmtId="0" fontId="28" fillId="52" borderId="10" applyNumberFormat="0" applyAlignment="0" applyProtection="0"/>
    <xf numFmtId="0" fontId="28" fillId="28" borderId="10" applyNumberFormat="0" applyProtection="0">
      <alignment vertical="center" wrapText="1"/>
    </xf>
    <xf numFmtId="0" fontId="28" fillId="52" borderId="10" applyNumberFormat="0" applyAlignment="0" applyProtection="0"/>
    <xf numFmtId="0" fontId="28" fillId="52" borderId="10" applyNumberFormat="0" applyAlignment="0" applyProtection="0"/>
    <xf numFmtId="0" fontId="69" fillId="0" borderId="0"/>
    <xf numFmtId="0" fontId="70" fillId="0" borderId="0"/>
    <xf numFmtId="0" fontId="4" fillId="0" borderId="0"/>
    <xf numFmtId="0" fontId="4" fillId="0" borderId="0"/>
    <xf numFmtId="0" fontId="19" fillId="54" borderId="2" applyNumberFormat="0" applyAlignment="0" applyProtection="0"/>
    <xf numFmtId="0" fontId="20" fillId="0" borderId="0" applyNumberFormat="0" applyFill="0" applyBorder="0" applyAlignment="0" applyProtection="0"/>
    <xf numFmtId="0" fontId="13" fillId="0" borderId="0" applyNumberFormat="0" applyFill="0" applyBorder="0" applyAlignment="0" applyProtection="0"/>
    <xf numFmtId="0" fontId="9" fillId="0" borderId="3" applyNumberFormat="0" applyFill="0" applyAlignment="0" applyProtection="0"/>
    <xf numFmtId="0" fontId="10" fillId="0" borderId="5"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9" fontId="4" fillId="0" borderId="0" applyFill="0" applyBorder="0" applyAlignment="0" applyProtection="0"/>
    <xf numFmtId="9" fontId="3" fillId="0" borderId="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66" fillId="0" borderId="0" applyFont="0" applyFill="0" applyBorder="0" applyAlignment="0" applyProtection="0"/>
    <xf numFmtId="0" fontId="6" fillId="15" borderId="14" applyNumberFormat="0" applyAlignment="0" applyProtection="0"/>
    <xf numFmtId="0" fontId="40" fillId="0" borderId="0"/>
    <xf numFmtId="171" fontId="40" fillId="0" borderId="0"/>
    <xf numFmtId="0" fontId="16" fillId="2" borderId="0" applyNumberFormat="0" applyBorder="0" applyAlignment="0" applyProtection="0"/>
    <xf numFmtId="0" fontId="16" fillId="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26" fillId="0" borderId="13" applyNumberFormat="0" applyFill="0" applyAlignment="0" applyProtection="0"/>
    <xf numFmtId="0" fontId="26" fillId="0" borderId="13" applyNumberFormat="0" applyFill="0" applyAlignment="0" applyProtection="0"/>
    <xf numFmtId="0" fontId="20" fillId="0" borderId="0" applyNumberFormat="0" applyFill="0" applyBorder="0" applyAlignment="0" applyProtection="0"/>
    <xf numFmtId="0" fontId="25" fillId="11" borderId="1" applyNumberFormat="0" applyAlignment="0" applyProtection="0"/>
    <xf numFmtId="0" fontId="17" fillId="9" borderId="0" applyNumberFormat="0" applyBorder="0" applyAlignment="0" applyProtection="0"/>
    <xf numFmtId="0" fontId="41" fillId="0" borderId="0"/>
    <xf numFmtId="0" fontId="2" fillId="0" borderId="0"/>
    <xf numFmtId="0" fontId="4" fillId="0" borderId="0"/>
    <xf numFmtId="0" fontId="7" fillId="0" borderId="0"/>
    <xf numFmtId="0" fontId="5" fillId="0" borderId="0"/>
    <xf numFmtId="0" fontId="2" fillId="0" borderId="0"/>
    <xf numFmtId="0" fontId="7" fillId="0" borderId="0"/>
    <xf numFmtId="0" fontId="7" fillId="0" borderId="0"/>
    <xf numFmtId="0" fontId="4" fillId="0" borderId="0"/>
    <xf numFmtId="0" fontId="2" fillId="0" borderId="0"/>
    <xf numFmtId="0" fontId="7" fillId="0" borderId="0"/>
    <xf numFmtId="0" fontId="7"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Protection="0">
      <alignment vertical="center" wrapText="1"/>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Protection="0">
      <alignment vertical="center" wrapText="1"/>
    </xf>
    <xf numFmtId="0" fontId="29" fillId="0" borderId="0" applyNumberFormat="0" applyFill="0" applyBorder="0" applyAlignment="0" applyProtection="0"/>
    <xf numFmtId="0" fontId="48" fillId="0" borderId="0" applyNumberFormat="0" applyFill="0" applyBorder="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Protection="0">
      <alignment vertical="center" wrapText="1"/>
    </xf>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Protection="0">
      <alignment vertical="center" wrapText="1"/>
    </xf>
    <xf numFmtId="0" fontId="30" fillId="0" borderId="15" applyNumberFormat="0" applyFill="0" applyAlignment="0" applyProtection="0"/>
    <xf numFmtId="0" fontId="62" fillId="0" borderId="11" applyNumberFormat="0" applyFill="0" applyAlignment="0" applyProtection="0"/>
    <xf numFmtId="0" fontId="28" fillId="28" borderId="10" applyNumberFormat="0" applyAlignment="0" applyProtection="0"/>
    <xf numFmtId="0" fontId="9" fillId="0" borderId="3" applyNumberFormat="0" applyFill="0" applyAlignment="0" applyProtection="0"/>
    <xf numFmtId="0" fontId="10" fillId="0" borderId="5"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Protection="0">
      <alignment vertical="center" wrapText="1"/>
    </xf>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Protection="0">
      <alignment vertical="center" wrapText="1"/>
    </xf>
    <xf numFmtId="0" fontId="31" fillId="0" borderId="0" applyNumberFormat="0" applyFill="0" applyBorder="0" applyAlignment="0" applyProtection="0"/>
    <xf numFmtId="0" fontId="60" fillId="0" borderId="0" applyNumberFormat="0" applyFill="0" applyBorder="0" applyAlignment="0" applyProtection="0"/>
    <xf numFmtId="0" fontId="3" fillId="0" borderId="0"/>
    <xf numFmtId="0" fontId="42" fillId="0" borderId="0"/>
    <xf numFmtId="0" fontId="42" fillId="0" borderId="0"/>
    <xf numFmtId="0" fontId="4" fillId="0" borderId="0">
      <alignment vertical="center" wrapText="1"/>
    </xf>
    <xf numFmtId="0" fontId="87" fillId="0" borderId="0"/>
    <xf numFmtId="0" fontId="4" fillId="0" borderId="0"/>
    <xf numFmtId="9" fontId="4" fillId="0" borderId="0" applyFill="0" applyBorder="0" applyProtection="0">
      <alignment vertical="center" wrapText="1"/>
    </xf>
    <xf numFmtId="0" fontId="2" fillId="0" borderId="0"/>
    <xf numFmtId="172" fontId="4" fillId="0" borderId="0" applyFill="0" applyBorder="0" applyProtection="0">
      <alignment vertical="center" wrapText="1"/>
    </xf>
    <xf numFmtId="0" fontId="92" fillId="56" borderId="0" applyNumberFormat="0" applyBorder="0" applyAlignment="0" applyProtection="0"/>
    <xf numFmtId="0" fontId="92" fillId="57" borderId="0" applyNumberFormat="0" applyBorder="0" applyAlignment="0" applyProtection="0"/>
    <xf numFmtId="0" fontId="92" fillId="58" borderId="0" applyNumberFormat="0" applyBorder="0" applyAlignment="0" applyProtection="0"/>
    <xf numFmtId="0" fontId="92" fillId="59" borderId="0" applyNumberFormat="0" applyBorder="0" applyAlignment="0" applyProtection="0"/>
    <xf numFmtId="0" fontId="92" fillId="60" borderId="0" applyNumberFormat="0" applyBorder="0" applyAlignment="0" applyProtection="0"/>
    <xf numFmtId="0" fontId="92" fillId="61" borderId="0" applyNumberFormat="0" applyBorder="0" applyAlignment="0" applyProtection="0"/>
  </cellStyleXfs>
  <cellXfs count="393">
    <xf numFmtId="0" fontId="0" fillId="0" borderId="0" xfId="0"/>
    <xf numFmtId="0" fontId="15" fillId="0" borderId="0" xfId="0" applyFont="1" applyFill="1" applyAlignment="1">
      <alignment vertical="center"/>
    </xf>
    <xf numFmtId="0" fontId="15" fillId="0" borderId="0" xfId="0" applyFont="1" applyAlignment="1">
      <alignment horizontal="center"/>
    </xf>
    <xf numFmtId="0" fontId="15" fillId="0" borderId="0" xfId="0" applyFont="1"/>
    <xf numFmtId="0" fontId="15" fillId="0" borderId="0" xfId="0" applyFont="1" applyAlignment="1">
      <alignment vertical="center"/>
    </xf>
    <xf numFmtId="0" fontId="73" fillId="0" borderId="0" xfId="0"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Fill="1" applyAlignment="1">
      <alignment horizontal="left" vertical="center"/>
    </xf>
    <xf numFmtId="0" fontId="15" fillId="0" borderId="0" xfId="0" applyFont="1" applyAlignment="1">
      <alignment wrapText="1"/>
    </xf>
    <xf numFmtId="0" fontId="15" fillId="0" borderId="0" xfId="0" applyFont="1" applyFill="1" applyAlignment="1">
      <alignment horizontal="right" vertical="center"/>
    </xf>
    <xf numFmtId="0" fontId="15" fillId="0" borderId="0" xfId="0" applyFont="1" applyBorder="1" applyAlignment="1">
      <alignment horizontal="center" vertical="center"/>
    </xf>
    <xf numFmtId="0" fontId="76" fillId="0" borderId="0" xfId="0" applyFont="1" applyAlignment="1">
      <alignment horizontal="center" vertical="center"/>
    </xf>
    <xf numFmtId="0" fontId="15" fillId="0" borderId="0" xfId="0" applyFont="1" applyBorder="1" applyAlignment="1">
      <alignment vertical="center"/>
    </xf>
    <xf numFmtId="4" fontId="15" fillId="0" borderId="0" xfId="0" applyNumberFormat="1" applyFont="1" applyBorder="1" applyAlignment="1">
      <alignment vertical="center"/>
    </xf>
    <xf numFmtId="4" fontId="73" fillId="0" borderId="0" xfId="0" applyNumberFormat="1" applyFont="1" applyBorder="1" applyAlignment="1"/>
    <xf numFmtId="4" fontId="15" fillId="0" borderId="0" xfId="0" applyNumberFormat="1" applyFont="1" applyFill="1" applyBorder="1" applyAlignment="1"/>
    <xf numFmtId="0" fontId="73" fillId="0" borderId="0" xfId="0" applyFont="1" applyBorder="1" applyAlignment="1">
      <alignment horizontal="right"/>
    </xf>
    <xf numFmtId="0" fontId="73" fillId="0" borderId="0" xfId="0" applyFont="1" applyBorder="1" applyAlignment="1">
      <alignment horizontal="center"/>
    </xf>
    <xf numFmtId="4" fontId="73" fillId="0" borderId="0" xfId="0" applyNumberFormat="1" applyFont="1" applyBorder="1" applyAlignment="1">
      <alignment horizontal="center"/>
    </xf>
    <xf numFmtId="0" fontId="79" fillId="0" borderId="0" xfId="0" applyFont="1" applyFill="1" applyAlignment="1">
      <alignment vertical="center"/>
    </xf>
    <xf numFmtId="0" fontId="79" fillId="0" borderId="0" xfId="0" applyFont="1" applyFill="1" applyBorder="1" applyAlignment="1">
      <alignment horizontal="center" vertical="center"/>
    </xf>
    <xf numFmtId="0" fontId="79" fillId="0" borderId="0" xfId="0" applyFont="1" applyFill="1" applyAlignment="1">
      <alignment horizontal="center" vertical="center"/>
    </xf>
    <xf numFmtId="0" fontId="79" fillId="0" borderId="0" xfId="0" applyFont="1" applyFill="1" applyBorder="1" applyAlignment="1">
      <alignment horizontal="right" vertical="center"/>
    </xf>
    <xf numFmtId="4" fontId="79" fillId="0" borderId="17" xfId="0" applyNumberFormat="1" applyFont="1" applyFill="1" applyBorder="1" applyAlignment="1">
      <alignment vertical="center"/>
    </xf>
    <xf numFmtId="0" fontId="80" fillId="0" borderId="0" xfId="0" applyFont="1" applyFill="1" applyBorder="1" applyAlignment="1">
      <alignment vertical="center"/>
    </xf>
    <xf numFmtId="0" fontId="79" fillId="0" borderId="0" xfId="0" applyFont="1" applyFill="1" applyBorder="1" applyAlignment="1">
      <alignment vertical="center"/>
    </xf>
    <xf numFmtId="0" fontId="79" fillId="0" borderId="0" xfId="0" applyFont="1" applyFill="1"/>
    <xf numFmtId="2" fontId="79" fillId="0" borderId="20" xfId="869" applyNumberFormat="1" applyFont="1" applyFill="1" applyBorder="1" applyAlignment="1">
      <alignment horizontal="center" vertical="center" wrapText="1"/>
    </xf>
    <xf numFmtId="4" fontId="15" fillId="0" borderId="18" xfId="0" applyNumberFormat="1" applyFont="1" applyFill="1" applyBorder="1" applyAlignment="1">
      <alignment horizontal="center" vertical="center" wrapText="1"/>
    </xf>
    <xf numFmtId="2" fontId="79" fillId="55" borderId="20" xfId="869" applyNumberFormat="1" applyFont="1" applyFill="1" applyBorder="1" applyAlignment="1">
      <alignment horizontal="center" vertical="center" wrapText="1"/>
    </xf>
    <xf numFmtId="2" fontId="79" fillId="0" borderId="0" xfId="0" applyNumberFormat="1" applyFont="1" applyFill="1"/>
    <xf numFmtId="2" fontId="81" fillId="55" borderId="21" xfId="0" applyNumberFormat="1" applyFont="1" applyFill="1" applyBorder="1" applyAlignment="1">
      <alignment horizontal="center" vertical="center" wrapText="1"/>
    </xf>
    <xf numFmtId="2" fontId="77" fillId="55" borderId="21" xfId="0" applyNumberFormat="1" applyFont="1" applyFill="1" applyBorder="1" applyAlignment="1">
      <alignment horizontal="left" vertical="center" wrapText="1"/>
    </xf>
    <xf numFmtId="2" fontId="78" fillId="0" borderId="16" xfId="0" applyNumberFormat="1" applyFont="1" applyFill="1" applyBorder="1" applyAlignment="1">
      <alignment horizontal="center" vertical="center"/>
    </xf>
    <xf numFmtId="1" fontId="81" fillId="55" borderId="21" xfId="0" applyNumberFormat="1" applyFont="1" applyFill="1" applyBorder="1" applyAlignment="1">
      <alignment horizontal="center" vertical="center"/>
    </xf>
    <xf numFmtId="2" fontId="81" fillId="0" borderId="22" xfId="0" applyNumberFormat="1" applyFont="1" applyFill="1" applyBorder="1" applyAlignment="1">
      <alignment horizontal="center" vertical="center"/>
    </xf>
    <xf numFmtId="2" fontId="81" fillId="0" borderId="22" xfId="1017" applyNumberFormat="1" applyFont="1" applyFill="1" applyBorder="1" applyAlignment="1" applyProtection="1">
      <alignment horizontal="center" vertical="center"/>
    </xf>
    <xf numFmtId="2" fontId="79" fillId="55" borderId="16" xfId="626" applyNumberFormat="1" applyFont="1" applyFill="1" applyBorder="1" applyAlignment="1">
      <alignment horizontal="center" vertical="center" textRotation="90" wrapText="1"/>
    </xf>
    <xf numFmtId="2" fontId="81" fillId="55" borderId="16" xfId="0" applyNumberFormat="1" applyFont="1" applyFill="1" applyBorder="1" applyAlignment="1">
      <alignment horizontal="center" vertical="center"/>
    </xf>
    <xf numFmtId="2" fontId="77" fillId="55" borderId="16" xfId="0" applyNumberFormat="1" applyFont="1" applyFill="1" applyBorder="1" applyAlignment="1">
      <alignment horizontal="center" vertical="center" wrapText="1"/>
    </xf>
    <xf numFmtId="2" fontId="81" fillId="55" borderId="16" xfId="626" applyNumberFormat="1" applyFont="1" applyFill="1" applyBorder="1" applyAlignment="1">
      <alignment horizontal="center" vertical="center"/>
    </xf>
    <xf numFmtId="2" fontId="79" fillId="55" borderId="16" xfId="626" applyNumberFormat="1" applyFont="1" applyFill="1" applyBorder="1" applyAlignment="1">
      <alignment horizontal="center" vertical="center"/>
    </xf>
    <xf numFmtId="2" fontId="79" fillId="55" borderId="18" xfId="626" applyNumberFormat="1" applyFont="1" applyFill="1" applyBorder="1" applyAlignment="1">
      <alignment horizontal="center" vertical="center" wrapText="1"/>
    </xf>
    <xf numFmtId="2" fontId="79" fillId="55" borderId="16" xfId="626" applyNumberFormat="1" applyFont="1" applyFill="1" applyBorder="1" applyAlignment="1">
      <alignment horizontal="center" vertical="center" wrapText="1"/>
    </xf>
    <xf numFmtId="2" fontId="79" fillId="55" borderId="23" xfId="626" applyNumberFormat="1" applyFont="1" applyFill="1" applyBorder="1" applyAlignment="1">
      <alignment horizontal="center" vertical="center" wrapText="1"/>
    </xf>
    <xf numFmtId="2" fontId="79" fillId="55" borderId="24" xfId="626" applyNumberFormat="1" applyFont="1" applyFill="1" applyBorder="1" applyAlignment="1">
      <alignment horizontal="center" vertical="center" wrapText="1"/>
    </xf>
    <xf numFmtId="2" fontId="81" fillId="0" borderId="22" xfId="626" applyNumberFormat="1" applyFont="1" applyFill="1" applyBorder="1" applyAlignment="1" applyProtection="1">
      <alignment horizontal="center" vertical="center"/>
    </xf>
    <xf numFmtId="2" fontId="79" fillId="0" borderId="16" xfId="626" applyNumberFormat="1" applyFont="1" applyFill="1" applyBorder="1" applyAlignment="1">
      <alignment horizontal="center" vertical="center"/>
    </xf>
    <xf numFmtId="2" fontId="79" fillId="0" borderId="18" xfId="626" applyNumberFormat="1" applyFont="1" applyFill="1" applyBorder="1" applyAlignment="1">
      <alignment horizontal="center" vertical="center" wrapText="1"/>
    </xf>
    <xf numFmtId="2" fontId="79" fillId="0" borderId="16" xfId="626" applyNumberFormat="1" applyFont="1" applyFill="1" applyBorder="1" applyAlignment="1">
      <alignment horizontal="center" vertical="center" wrapText="1"/>
    </xf>
    <xf numFmtId="2" fontId="79" fillId="0" borderId="23" xfId="626" applyNumberFormat="1" applyFont="1" applyFill="1" applyBorder="1" applyAlignment="1">
      <alignment horizontal="center" vertical="center" wrapText="1"/>
    </xf>
    <xf numFmtId="2" fontId="79" fillId="0" borderId="24" xfId="626" applyNumberFormat="1" applyFont="1" applyFill="1" applyBorder="1" applyAlignment="1">
      <alignment horizontal="center" vertical="center" wrapText="1"/>
    </xf>
    <xf numFmtId="2" fontId="81" fillId="55" borderId="21" xfId="626" applyNumberFormat="1" applyFont="1" applyFill="1" applyBorder="1" applyAlignment="1">
      <alignment horizontal="center" vertical="center"/>
    </xf>
    <xf numFmtId="2" fontId="81" fillId="0" borderId="22" xfId="1017" applyNumberFormat="1" applyFont="1" applyFill="1" applyBorder="1" applyAlignment="1" applyProtection="1">
      <alignment vertical="center" wrapText="1"/>
    </xf>
    <xf numFmtId="2" fontId="79" fillId="55" borderId="18" xfId="626" applyNumberFormat="1" applyFont="1" applyFill="1" applyBorder="1" applyAlignment="1">
      <alignment horizontal="center" vertical="center"/>
    </xf>
    <xf numFmtId="0" fontId="15" fillId="0" borderId="49" xfId="0" applyFont="1" applyFill="1" applyBorder="1" applyAlignment="1">
      <alignment vertical="center" wrapText="1"/>
    </xf>
    <xf numFmtId="0" fontId="15" fillId="0" borderId="16" xfId="0" applyFont="1" applyFill="1" applyBorder="1" applyAlignment="1">
      <alignment vertical="center" wrapText="1"/>
    </xf>
    <xf numFmtId="2" fontId="79" fillId="55" borderId="16" xfId="605" applyNumberFormat="1" applyFont="1" applyFill="1" applyBorder="1" applyAlignment="1">
      <alignment horizontal="center" vertical="center" textRotation="90" wrapText="1"/>
    </xf>
    <xf numFmtId="2" fontId="81" fillId="55" borderId="26" xfId="0" applyNumberFormat="1" applyFont="1" applyFill="1" applyBorder="1" applyAlignment="1">
      <alignment horizontal="center" vertical="center"/>
    </xf>
    <xf numFmtId="2" fontId="77" fillId="55" borderId="27" xfId="0" applyNumberFormat="1" applyFont="1" applyFill="1" applyBorder="1" applyAlignment="1">
      <alignment horizontal="center" vertical="center"/>
    </xf>
    <xf numFmtId="2" fontId="81" fillId="55" borderId="27" xfId="0" applyNumberFormat="1" applyFont="1" applyFill="1" applyBorder="1" applyAlignment="1">
      <alignment horizontal="center" vertical="center"/>
    </xf>
    <xf numFmtId="2" fontId="81" fillId="55" borderId="27" xfId="605" applyNumberFormat="1" applyFont="1" applyFill="1" applyBorder="1" applyAlignment="1">
      <alignment horizontal="center" vertical="center"/>
    </xf>
    <xf numFmtId="2" fontId="79" fillId="55" borderId="16" xfId="605" applyNumberFormat="1" applyFont="1" applyFill="1" applyBorder="1" applyAlignment="1">
      <alignment horizontal="center" vertical="center"/>
    </xf>
    <xf numFmtId="2" fontId="79" fillId="55" borderId="18" xfId="605" applyNumberFormat="1" applyFont="1" applyFill="1" applyBorder="1" applyAlignment="1">
      <alignment horizontal="center" vertical="center" wrapText="1"/>
    </xf>
    <xf numFmtId="2" fontId="79" fillId="55" borderId="16" xfId="605" applyNumberFormat="1" applyFont="1" applyFill="1" applyBorder="1" applyAlignment="1">
      <alignment horizontal="center" vertical="center" wrapText="1"/>
    </xf>
    <xf numFmtId="2" fontId="79" fillId="55" borderId="23" xfId="605" applyNumberFormat="1" applyFont="1" applyFill="1" applyBorder="1" applyAlignment="1">
      <alignment horizontal="center" vertical="center" wrapText="1"/>
    </xf>
    <xf numFmtId="2" fontId="79" fillId="55" borderId="24" xfId="605" applyNumberFormat="1" applyFont="1" applyFill="1" applyBorder="1" applyAlignment="1">
      <alignment horizontal="center" vertical="center" wrapText="1"/>
    </xf>
    <xf numFmtId="2" fontId="77" fillId="55" borderId="22" xfId="0" applyNumberFormat="1" applyFont="1" applyFill="1" applyBorder="1" applyAlignment="1">
      <alignment horizontal="center" vertical="center" wrapText="1"/>
    </xf>
    <xf numFmtId="2" fontId="81" fillId="55" borderId="21" xfId="1017" applyNumberFormat="1" applyFont="1" applyFill="1" applyBorder="1" applyAlignment="1">
      <alignment horizontal="center" vertical="center"/>
    </xf>
    <xf numFmtId="2" fontId="81" fillId="55" borderId="21" xfId="605" applyNumberFormat="1" applyFont="1" applyFill="1" applyBorder="1" applyAlignment="1">
      <alignment horizontal="center" vertical="center"/>
    </xf>
    <xf numFmtId="2" fontId="81" fillId="55" borderId="21" xfId="0" applyNumberFormat="1" applyFont="1" applyFill="1" applyBorder="1" applyAlignment="1">
      <alignment horizontal="center" vertical="center"/>
    </xf>
    <xf numFmtId="2" fontId="77" fillId="55" borderId="21" xfId="1017" applyNumberFormat="1" applyFont="1" applyFill="1" applyBorder="1" applyAlignment="1">
      <alignment horizontal="center" vertical="center" wrapText="1"/>
    </xf>
    <xf numFmtId="2" fontId="77" fillId="55" borderId="21" xfId="1017" applyNumberFormat="1" applyFont="1" applyFill="1" applyBorder="1" applyAlignment="1">
      <alignment horizontal="center" vertical="top" wrapText="1"/>
    </xf>
    <xf numFmtId="2" fontId="81" fillId="55" borderId="21" xfId="605" applyNumberFormat="1" applyFont="1" applyFill="1" applyBorder="1" applyAlignment="1">
      <alignment horizontal="right" vertical="center"/>
    </xf>
    <xf numFmtId="2" fontId="81" fillId="55" borderId="32" xfId="0" applyNumberFormat="1" applyFont="1" applyFill="1" applyBorder="1" applyAlignment="1">
      <alignment horizontal="center" vertical="center"/>
    </xf>
    <xf numFmtId="2" fontId="77" fillId="55" borderId="33" xfId="0" applyNumberFormat="1" applyFont="1" applyFill="1" applyBorder="1" applyAlignment="1">
      <alignment horizontal="center" vertical="center" wrapText="1"/>
    </xf>
    <xf numFmtId="2" fontId="81" fillId="55" borderId="33" xfId="0" applyNumberFormat="1" applyFont="1" applyFill="1" applyBorder="1" applyAlignment="1">
      <alignment horizontal="center" vertical="center"/>
    </xf>
    <xf numFmtId="2" fontId="81" fillId="55" borderId="34" xfId="0" applyNumberFormat="1" applyFont="1" applyFill="1" applyBorder="1" applyAlignment="1">
      <alignment horizontal="center" vertical="center"/>
    </xf>
    <xf numFmtId="2" fontId="77" fillId="55" borderId="35" xfId="0" applyNumberFormat="1" applyFont="1" applyFill="1" applyBorder="1" applyAlignment="1">
      <alignment horizontal="center" vertical="center"/>
    </xf>
    <xf numFmtId="2" fontId="81" fillId="55" borderId="35" xfId="0" applyNumberFormat="1" applyFont="1" applyFill="1" applyBorder="1" applyAlignment="1">
      <alignment horizontal="center" vertical="center"/>
    </xf>
    <xf numFmtId="2" fontId="77" fillId="55" borderId="27" xfId="0" applyNumberFormat="1" applyFont="1" applyFill="1" applyBorder="1" applyAlignment="1">
      <alignment horizontal="center" vertical="center" wrapText="1"/>
    </xf>
    <xf numFmtId="2" fontId="77" fillId="55" borderId="16" xfId="0" applyNumberFormat="1" applyFont="1" applyFill="1" applyBorder="1" applyAlignment="1">
      <alignment horizontal="center" vertical="center"/>
    </xf>
    <xf numFmtId="2" fontId="77" fillId="55" borderId="28" xfId="0" applyNumberFormat="1" applyFont="1" applyFill="1" applyBorder="1" applyAlignment="1">
      <alignment horizontal="center" vertical="center" wrapText="1"/>
    </xf>
    <xf numFmtId="2" fontId="77" fillId="55" borderId="21" xfId="0" applyNumberFormat="1" applyFont="1" applyFill="1" applyBorder="1" applyAlignment="1">
      <alignment horizontal="center" vertical="center" wrapText="1"/>
    </xf>
    <xf numFmtId="1" fontId="81" fillId="55" borderId="16" xfId="0" applyNumberFormat="1" applyFont="1" applyFill="1" applyBorder="1" applyAlignment="1">
      <alignment horizontal="center" vertical="center"/>
    </xf>
    <xf numFmtId="2" fontId="77" fillId="55" borderId="16" xfId="0" applyNumberFormat="1" applyFont="1" applyFill="1" applyBorder="1" applyAlignment="1">
      <alignment horizontal="left" vertical="center" wrapText="1"/>
    </xf>
    <xf numFmtId="2" fontId="81" fillId="55" borderId="16" xfId="1017" applyNumberFormat="1" applyFont="1" applyFill="1" applyBorder="1" applyAlignment="1">
      <alignment horizontal="center" vertical="center"/>
    </xf>
    <xf numFmtId="2" fontId="81" fillId="55" borderId="40" xfId="626" applyNumberFormat="1" applyFont="1" applyFill="1" applyBorder="1" applyAlignment="1">
      <alignment horizontal="center" vertical="center"/>
    </xf>
    <xf numFmtId="0" fontId="79" fillId="55" borderId="16" xfId="0" applyFont="1" applyFill="1" applyBorder="1"/>
    <xf numFmtId="2" fontId="79" fillId="55" borderId="18" xfId="0" applyNumberFormat="1" applyFont="1" applyFill="1" applyBorder="1" applyAlignment="1">
      <alignment horizontal="center" vertical="center" wrapText="1"/>
    </xf>
    <xf numFmtId="0" fontId="79" fillId="55" borderId="18" xfId="0" applyFont="1" applyFill="1" applyBorder="1" applyAlignment="1">
      <alignment horizontal="center" vertical="center" wrapText="1"/>
    </xf>
    <xf numFmtId="2" fontId="81" fillId="55" borderId="41" xfId="0" applyNumberFormat="1" applyFont="1" applyFill="1" applyBorder="1" applyAlignment="1">
      <alignment horizontal="center" vertical="center"/>
    </xf>
    <xf numFmtId="2" fontId="81" fillId="55" borderId="22" xfId="0" applyNumberFormat="1" applyFont="1" applyFill="1" applyBorder="1" applyAlignment="1">
      <alignment horizontal="center" vertical="center"/>
    </xf>
    <xf numFmtId="1" fontId="77" fillId="55" borderId="16" xfId="0" applyNumberFormat="1" applyFont="1" applyFill="1" applyBorder="1" applyAlignment="1">
      <alignment horizontal="center" vertical="center"/>
    </xf>
    <xf numFmtId="43" fontId="81" fillId="55" borderId="40" xfId="626" applyFont="1" applyFill="1" applyBorder="1" applyAlignment="1">
      <alignment horizontal="center" vertical="center"/>
    </xf>
    <xf numFmtId="43" fontId="79" fillId="55" borderId="16" xfId="626" applyFont="1" applyFill="1" applyBorder="1" applyAlignment="1">
      <alignment horizontal="center" vertical="center"/>
    </xf>
    <xf numFmtId="43" fontId="79" fillId="55" borderId="18" xfId="626" applyFont="1" applyFill="1" applyBorder="1" applyAlignment="1">
      <alignment horizontal="center" vertical="center" wrapText="1"/>
    </xf>
    <xf numFmtId="43" fontId="79" fillId="55" borderId="16" xfId="626" applyFont="1" applyFill="1" applyBorder="1" applyAlignment="1">
      <alignment horizontal="center" vertical="center" wrapText="1"/>
    </xf>
    <xf numFmtId="43" fontId="79" fillId="55" borderId="23" xfId="626" applyFont="1" applyFill="1" applyBorder="1" applyAlignment="1">
      <alignment horizontal="center" vertical="center" wrapText="1"/>
    </xf>
    <xf numFmtId="43" fontId="79" fillId="55" borderId="24" xfId="626" applyFont="1" applyFill="1" applyBorder="1" applyAlignment="1">
      <alignment horizontal="center" vertical="center" wrapText="1"/>
    </xf>
    <xf numFmtId="167" fontId="79" fillId="55" borderId="20" xfId="869" applyNumberFormat="1" applyFont="1" applyFill="1" applyBorder="1" applyAlignment="1">
      <alignment horizontal="center" vertical="center" wrapText="1"/>
    </xf>
    <xf numFmtId="1" fontId="77" fillId="55" borderId="16" xfId="0" applyNumberFormat="1" applyFont="1" applyFill="1" applyBorder="1" applyAlignment="1">
      <alignment horizontal="center" vertical="center" wrapText="1"/>
    </xf>
    <xf numFmtId="0" fontId="15" fillId="0" borderId="17" xfId="0" applyFont="1" applyBorder="1" applyAlignment="1">
      <alignment horizontal="left" vertical="center"/>
    </xf>
    <xf numFmtId="0" fontId="15" fillId="0" borderId="0" xfId="1073" applyFont="1" applyFill="1" applyBorder="1" applyAlignment="1">
      <alignment vertical="center" wrapText="1"/>
    </xf>
    <xf numFmtId="2" fontId="79" fillId="55" borderId="16" xfId="0" applyNumberFormat="1" applyFont="1" applyFill="1" applyBorder="1" applyAlignment="1">
      <alignment horizontal="center" vertical="center" textRotation="90" wrapText="1"/>
    </xf>
    <xf numFmtId="0" fontId="15" fillId="62" borderId="0" xfId="0" applyFont="1" applyFill="1"/>
    <xf numFmtId="2" fontId="79" fillId="63" borderId="0" xfId="0" applyNumberFormat="1" applyFont="1" applyFill="1" applyAlignment="1">
      <alignment vertical="center"/>
    </xf>
    <xf numFmtId="2" fontId="79" fillId="63" borderId="0" xfId="0" applyNumberFormat="1" applyFont="1" applyFill="1" applyAlignment="1">
      <alignment horizontal="center"/>
    </xf>
    <xf numFmtId="2" fontId="79" fillId="63" borderId="0" xfId="0" applyNumberFormat="1" applyFont="1" applyFill="1"/>
    <xf numFmtId="2" fontId="79" fillId="63" borderId="0" xfId="0" applyNumberFormat="1" applyFont="1" applyFill="1" applyAlignment="1">
      <alignment horizontal="center" vertical="center"/>
    </xf>
    <xf numFmtId="2" fontId="78" fillId="63" borderId="0" xfId="0" applyNumberFormat="1" applyFont="1" applyFill="1" applyAlignment="1">
      <alignment vertical="center" wrapText="1"/>
    </xf>
    <xf numFmtId="2" fontId="79" fillId="63" borderId="0" xfId="898" applyNumberFormat="1" applyFont="1" applyFill="1" applyAlignment="1">
      <alignment vertical="center"/>
    </xf>
    <xf numFmtId="2" fontId="79" fillId="63" borderId="0" xfId="898" applyNumberFormat="1" applyFont="1" applyFill="1" applyAlignment="1">
      <alignment horizontal="center" vertical="center"/>
    </xf>
    <xf numFmtId="2" fontId="80" fillId="63" borderId="0" xfId="0" applyNumberFormat="1" applyFont="1" applyFill="1" applyAlignment="1">
      <alignment horizontal="center" vertical="center"/>
    </xf>
    <xf numFmtId="2" fontId="78" fillId="63" borderId="0" xfId="0" applyNumberFormat="1" applyFont="1" applyFill="1" applyAlignment="1">
      <alignment horizontal="center" vertical="center"/>
    </xf>
    <xf numFmtId="2" fontId="79" fillId="63" borderId="0" xfId="0" applyNumberFormat="1" applyFont="1" applyFill="1" applyAlignment="1">
      <alignment horizontal="left"/>
    </xf>
    <xf numFmtId="2" fontId="79" fillId="63" borderId="0" xfId="0" applyNumberFormat="1" applyFont="1" applyFill="1" applyAlignment="1">
      <alignment vertical="center" wrapText="1"/>
    </xf>
    <xf numFmtId="0" fontId="93" fillId="63" borderId="0" xfId="0" applyFont="1" applyFill="1"/>
    <xf numFmtId="2" fontId="79" fillId="63" borderId="0" xfId="0" applyNumberFormat="1" applyFont="1" applyFill="1" applyAlignment="1">
      <alignment horizontal="right"/>
    </xf>
    <xf numFmtId="2" fontId="79" fillId="63" borderId="0" xfId="605" applyNumberFormat="1" applyFont="1" applyFill="1"/>
    <xf numFmtId="2" fontId="79" fillId="0" borderId="0" xfId="0" applyNumberFormat="1" applyFont="1" applyFill="1" applyAlignment="1">
      <alignment vertical="center"/>
    </xf>
    <xf numFmtId="2" fontId="91" fillId="0" borderId="0" xfId="0" applyNumberFormat="1" applyFont="1" applyFill="1"/>
    <xf numFmtId="2" fontId="79" fillId="0" borderId="0" xfId="0" applyNumberFormat="1" applyFont="1" applyFill="1" applyAlignment="1">
      <alignment horizontal="center"/>
    </xf>
    <xf numFmtId="2" fontId="79" fillId="0" borderId="0" xfId="0" applyNumberFormat="1" applyFont="1" applyFill="1" applyAlignment="1">
      <alignment horizontal="center" vertical="center"/>
    </xf>
    <xf numFmtId="2" fontId="79" fillId="0" borderId="0" xfId="0" applyNumberFormat="1" applyFont="1" applyFill="1" applyAlignment="1">
      <alignment horizontal="right" vertical="center"/>
    </xf>
    <xf numFmtId="2" fontId="79" fillId="0" borderId="17" xfId="0" applyNumberFormat="1" applyFont="1" applyFill="1" applyBorder="1" applyAlignment="1">
      <alignment vertical="center"/>
    </xf>
    <xf numFmtId="2" fontId="80" fillId="0" borderId="0" xfId="0" applyNumberFormat="1" applyFont="1" applyFill="1" applyAlignment="1">
      <alignment vertical="center"/>
    </xf>
    <xf numFmtId="2" fontId="79" fillId="0" borderId="16" xfId="605" applyNumberFormat="1" applyFont="1" applyFill="1" applyBorder="1" applyAlignment="1">
      <alignment horizontal="center" vertical="center"/>
    </xf>
    <xf numFmtId="2" fontId="79" fillId="0" borderId="18" xfId="605" applyNumberFormat="1" applyFont="1" applyFill="1" applyBorder="1" applyAlignment="1">
      <alignment horizontal="center" vertical="center" wrapText="1"/>
    </xf>
    <xf numFmtId="2" fontId="79" fillId="0" borderId="16" xfId="605" applyNumberFormat="1" applyFont="1" applyFill="1" applyBorder="1" applyAlignment="1">
      <alignment horizontal="center" vertical="center" wrapText="1"/>
    </xf>
    <xf numFmtId="2" fontId="79" fillId="0" borderId="23" xfId="605" applyNumberFormat="1" applyFont="1" applyFill="1" applyBorder="1" applyAlignment="1">
      <alignment horizontal="center" vertical="center" wrapText="1"/>
    </xf>
    <xf numFmtId="2" fontId="79" fillId="0" borderId="24" xfId="605" applyNumberFormat="1" applyFont="1" applyFill="1" applyBorder="1" applyAlignment="1">
      <alignment horizontal="center" vertical="center" wrapText="1"/>
    </xf>
    <xf numFmtId="2" fontId="81" fillId="0" borderId="21" xfId="0" applyNumberFormat="1" applyFont="1" applyFill="1" applyBorder="1" applyAlignment="1">
      <alignment horizontal="center" vertical="center"/>
    </xf>
    <xf numFmtId="2" fontId="81" fillId="0" borderId="21" xfId="1017" applyNumberFormat="1" applyFont="1" applyFill="1" applyBorder="1" applyAlignment="1">
      <alignment vertical="top" wrapText="1"/>
    </xf>
    <xf numFmtId="2" fontId="81" fillId="0" borderId="21" xfId="1017" applyNumberFormat="1" applyFont="1" applyFill="1" applyBorder="1" applyAlignment="1">
      <alignment horizontal="center" vertical="center"/>
    </xf>
    <xf numFmtId="2" fontId="81" fillId="0" borderId="21" xfId="605" applyNumberFormat="1" applyFont="1" applyFill="1" applyBorder="1" applyAlignment="1">
      <alignment horizontal="center" vertical="center"/>
    </xf>
    <xf numFmtId="2" fontId="81" fillId="0" borderId="28" xfId="1017" applyNumberFormat="1" applyFont="1" applyFill="1" applyBorder="1" applyAlignment="1">
      <alignment vertical="top" wrapText="1"/>
    </xf>
    <xf numFmtId="2" fontId="81" fillId="0" borderId="28" xfId="1017" applyNumberFormat="1" applyFont="1" applyFill="1" applyBorder="1" applyAlignment="1">
      <alignment horizontal="center" vertical="center"/>
    </xf>
    <xf numFmtId="2" fontId="81" fillId="0" borderId="21" xfId="0" applyNumberFormat="1" applyFont="1" applyFill="1" applyBorder="1" applyAlignment="1">
      <alignment horizontal="left" vertical="center" wrapText="1"/>
    </xf>
    <xf numFmtId="2" fontId="81" fillId="0" borderId="21" xfId="605" applyNumberFormat="1" applyFont="1" applyFill="1" applyBorder="1" applyAlignment="1">
      <alignment horizontal="center" vertical="center" wrapText="1"/>
    </xf>
    <xf numFmtId="2" fontId="81" fillId="0" borderId="21" xfId="0" applyNumberFormat="1" applyFont="1" applyFill="1" applyBorder="1" applyAlignment="1">
      <alignment horizontal="center" vertical="center" wrapText="1"/>
    </xf>
    <xf numFmtId="2" fontId="77" fillId="0" borderId="29" xfId="0" applyNumberFormat="1" applyFont="1" applyFill="1" applyBorder="1" applyAlignment="1">
      <alignment horizontal="center" vertical="center"/>
    </xf>
    <xf numFmtId="2" fontId="77" fillId="0" borderId="22" xfId="0" applyNumberFormat="1" applyFont="1" applyFill="1" applyBorder="1" applyAlignment="1">
      <alignment horizontal="center" vertical="center" wrapText="1"/>
    </xf>
    <xf numFmtId="2" fontId="81" fillId="0" borderId="21" xfId="1073" applyNumberFormat="1" applyFont="1" applyFill="1" applyBorder="1"/>
    <xf numFmtId="2" fontId="81" fillId="0" borderId="28" xfId="605" applyNumberFormat="1" applyFont="1" applyFill="1" applyBorder="1" applyAlignment="1">
      <alignment horizontal="center" vertical="center"/>
    </xf>
    <xf numFmtId="2" fontId="77" fillId="0" borderId="21" xfId="1073" applyNumberFormat="1" applyFont="1" applyFill="1" applyBorder="1" applyAlignment="1">
      <alignment horizontal="center" wrapText="1"/>
    </xf>
    <xf numFmtId="2" fontId="77" fillId="0" borderId="21" xfId="0" applyNumberFormat="1" applyFont="1" applyFill="1" applyBorder="1" applyAlignment="1">
      <alignment horizontal="center" vertical="center"/>
    </xf>
    <xf numFmtId="2" fontId="77" fillId="0" borderId="21" xfId="1073" applyNumberFormat="1" applyFont="1" applyFill="1" applyBorder="1" applyAlignment="1">
      <alignment horizontal="center" vertical="center" wrapText="1"/>
    </xf>
    <xf numFmtId="2" fontId="81" fillId="0" borderId="29" xfId="0" applyNumberFormat="1" applyFont="1" applyFill="1" applyBorder="1" applyAlignment="1">
      <alignment horizontal="center" vertical="center"/>
    </xf>
    <xf numFmtId="2" fontId="81" fillId="0" borderId="28" xfId="0" applyNumberFormat="1" applyFont="1" applyFill="1" applyBorder="1" applyAlignment="1">
      <alignment horizontal="center" vertical="center"/>
    </xf>
    <xf numFmtId="2" fontId="77" fillId="0" borderId="21" xfId="1073" applyNumberFormat="1" applyFont="1" applyFill="1" applyBorder="1" applyAlignment="1">
      <alignment horizontal="center" vertical="center"/>
    </xf>
    <xf numFmtId="2" fontId="77" fillId="0" borderId="21" xfId="1017" applyNumberFormat="1" applyFont="1" applyFill="1" applyBorder="1" applyAlignment="1">
      <alignment horizontal="center" vertical="center" wrapText="1"/>
    </xf>
    <xf numFmtId="2" fontId="77" fillId="0" borderId="21" xfId="1017" applyNumberFormat="1" applyFont="1" applyFill="1" applyBorder="1" applyAlignment="1">
      <alignment horizontal="center" vertical="top" wrapText="1"/>
    </xf>
    <xf numFmtId="2" fontId="81" fillId="0" borderId="21" xfId="605" applyNumberFormat="1" applyFont="1" applyFill="1" applyBorder="1" applyAlignment="1">
      <alignment horizontal="right" vertical="center"/>
    </xf>
    <xf numFmtId="1" fontId="81" fillId="0" borderId="21" xfId="0" applyNumberFormat="1" applyFont="1" applyFill="1" applyBorder="1" applyAlignment="1">
      <alignment horizontal="center" vertical="center"/>
    </xf>
    <xf numFmtId="2" fontId="77" fillId="0" borderId="21" xfId="0" applyNumberFormat="1" applyFont="1" applyFill="1" applyBorder="1" applyAlignment="1">
      <alignment horizontal="left" vertical="center" wrapText="1"/>
    </xf>
    <xf numFmtId="2" fontId="81" fillId="64" borderId="21" xfId="1017" applyNumberFormat="1" applyFont="1" applyFill="1" applyBorder="1" applyAlignment="1">
      <alignment horizontal="center" vertical="center"/>
    </xf>
    <xf numFmtId="2" fontId="78" fillId="64" borderId="16" xfId="0" applyNumberFormat="1" applyFont="1" applyFill="1" applyBorder="1" applyAlignment="1">
      <alignment horizontal="center" vertical="center"/>
    </xf>
    <xf numFmtId="2" fontId="79" fillId="62" borderId="0" xfId="0" applyNumberFormat="1" applyFont="1" applyFill="1" applyAlignment="1">
      <alignment vertical="center"/>
    </xf>
    <xf numFmtId="2" fontId="79" fillId="62" borderId="0" xfId="0" applyNumberFormat="1" applyFont="1" applyFill="1" applyAlignment="1">
      <alignment horizontal="center"/>
    </xf>
    <xf numFmtId="2" fontId="79" fillId="62" borderId="0" xfId="0" applyNumberFormat="1" applyFont="1" applyFill="1"/>
    <xf numFmtId="2" fontId="79" fillId="62" borderId="0" xfId="0" applyNumberFormat="1" applyFont="1" applyFill="1" applyAlignment="1">
      <alignment horizontal="center" vertical="center"/>
    </xf>
    <xf numFmtId="2" fontId="79" fillId="62" borderId="0" xfId="0" applyNumberFormat="1" applyFont="1" applyFill="1" applyAlignment="1">
      <alignment textRotation="88"/>
    </xf>
    <xf numFmtId="2" fontId="78" fillId="62" borderId="0" xfId="0" applyNumberFormat="1" applyFont="1" applyFill="1" applyAlignment="1">
      <alignment vertical="center" wrapText="1"/>
    </xf>
    <xf numFmtId="2" fontId="79" fillId="62" borderId="0" xfId="898" applyNumberFormat="1" applyFont="1" applyFill="1" applyAlignment="1">
      <alignment vertical="center"/>
    </xf>
    <xf numFmtId="2" fontId="79" fillId="62" borderId="0" xfId="898" applyNumberFormat="1" applyFont="1" applyFill="1" applyAlignment="1">
      <alignment horizontal="center" vertical="center"/>
    </xf>
    <xf numFmtId="2" fontId="80" fillId="62" borderId="0" xfId="0" applyNumberFormat="1" applyFont="1" applyFill="1" applyAlignment="1">
      <alignment horizontal="center" vertical="center"/>
    </xf>
    <xf numFmtId="2" fontId="78" fillId="62" borderId="0" xfId="0" applyNumberFormat="1" applyFont="1" applyFill="1" applyAlignment="1">
      <alignment horizontal="center" vertical="center"/>
    </xf>
    <xf numFmtId="2" fontId="79" fillId="62" borderId="0" xfId="0" applyNumberFormat="1" applyFont="1" applyFill="1" applyAlignment="1">
      <alignment horizontal="left"/>
    </xf>
    <xf numFmtId="2" fontId="79" fillId="62" borderId="0" xfId="0" applyNumberFormat="1" applyFont="1" applyFill="1" applyAlignment="1">
      <alignment vertical="center" wrapText="1"/>
    </xf>
    <xf numFmtId="2" fontId="79" fillId="62" borderId="0" xfId="0" applyNumberFormat="1" applyFont="1" applyFill="1" applyAlignment="1">
      <alignment horizontal="right"/>
    </xf>
    <xf numFmtId="2" fontId="79" fillId="62" borderId="0" xfId="605" applyNumberFormat="1" applyFont="1" applyFill="1"/>
    <xf numFmtId="2" fontId="0" fillId="0" borderId="19" xfId="0" applyNumberFormat="1" applyFill="1" applyBorder="1" applyAlignment="1">
      <alignment horizontal="left" vertical="center" wrapText="1"/>
    </xf>
    <xf numFmtId="2" fontId="0" fillId="0" borderId="19" xfId="0" applyNumberFormat="1" applyFill="1" applyBorder="1" applyAlignment="1">
      <alignment horizontal="center" vertical="center" wrapText="1"/>
    </xf>
    <xf numFmtId="2" fontId="0" fillId="0" borderId="30" xfId="0" applyNumberFormat="1" applyFill="1" applyBorder="1" applyAlignment="1">
      <alignment horizontal="left" vertical="center" wrapText="1"/>
    </xf>
    <xf numFmtId="2" fontId="0" fillId="0" borderId="30" xfId="0" applyNumberFormat="1" applyFill="1" applyBorder="1" applyAlignment="1">
      <alignment horizontal="center" vertical="center" wrapText="1"/>
    </xf>
    <xf numFmtId="2" fontId="84" fillId="0" borderId="30" xfId="0" applyNumberFormat="1" applyFont="1" applyFill="1" applyBorder="1" applyAlignment="1">
      <alignment horizontal="left" vertical="center" wrapText="1"/>
    </xf>
    <xf numFmtId="1" fontId="81" fillId="0" borderId="28" xfId="0" applyNumberFormat="1" applyFont="1" applyFill="1" applyBorder="1" applyAlignment="1">
      <alignment horizontal="center" vertical="center"/>
    </xf>
    <xf numFmtId="2" fontId="4" fillId="0" borderId="31" xfId="0" applyNumberFormat="1" applyFont="1" applyFill="1" applyBorder="1" applyAlignment="1">
      <alignment horizontal="left" vertical="center" wrapText="1"/>
    </xf>
    <xf numFmtId="2" fontId="4" fillId="0" borderId="31" xfId="0" applyNumberFormat="1" applyFont="1" applyFill="1" applyBorder="1" applyAlignment="1">
      <alignment horizontal="center" vertical="center" wrapText="1"/>
    </xf>
    <xf numFmtId="2" fontId="81" fillId="0" borderId="22" xfId="1017" applyNumberFormat="1" applyFont="1" applyFill="1" applyBorder="1" applyAlignment="1">
      <alignment vertical="top" wrapText="1"/>
    </xf>
    <xf numFmtId="2" fontId="81" fillId="0" borderId="22" xfId="1017" applyNumberFormat="1" applyFont="1" applyFill="1" applyBorder="1" applyAlignment="1">
      <alignment horizontal="center" vertical="center"/>
    </xf>
    <xf numFmtId="2" fontId="81" fillId="0" borderId="21" xfId="1017" quotePrefix="1" applyNumberFormat="1" applyFont="1" applyFill="1" applyBorder="1" applyAlignment="1">
      <alignment vertical="top" wrapText="1"/>
    </xf>
    <xf numFmtId="2" fontId="85" fillId="0" borderId="21" xfId="1017" applyNumberFormat="1" applyFont="1" applyFill="1" applyBorder="1" applyAlignment="1">
      <alignment horizontal="right" vertical="top" wrapText="1"/>
    </xf>
    <xf numFmtId="2" fontId="81" fillId="0" borderId="16" xfId="0" applyNumberFormat="1" applyFont="1" applyFill="1" applyBorder="1" applyAlignment="1">
      <alignment horizontal="center" vertical="center"/>
    </xf>
    <xf numFmtId="2" fontId="81" fillId="0" borderId="16" xfId="1017" applyNumberFormat="1" applyFont="1" applyFill="1" applyBorder="1" applyAlignment="1">
      <alignment vertical="top" wrapText="1"/>
    </xf>
    <xf numFmtId="2" fontId="81" fillId="0" borderId="21" xfId="605" applyNumberFormat="1" applyFont="1" applyFill="1" applyBorder="1" applyAlignment="1">
      <alignment vertical="center" wrapText="1"/>
    </xf>
    <xf numFmtId="49" fontId="81" fillId="0" borderId="21" xfId="0" applyNumberFormat="1" applyFont="1" applyFill="1" applyBorder="1" applyAlignment="1">
      <alignment horizontal="center" vertical="center"/>
    </xf>
    <xf numFmtId="0" fontId="0" fillId="0" borderId="19" xfId="0" applyFill="1" applyBorder="1" applyAlignment="1">
      <alignment horizontal="left" vertical="center" wrapText="1"/>
    </xf>
    <xf numFmtId="0" fontId="0" fillId="0" borderId="19" xfId="0" applyFill="1" applyBorder="1" applyAlignment="1">
      <alignment horizontal="center" vertical="center" wrapText="1"/>
    </xf>
    <xf numFmtId="0" fontId="0" fillId="0" borderId="30" xfId="0" applyFill="1" applyBorder="1" applyAlignment="1">
      <alignment horizontal="left" vertical="center" wrapText="1"/>
    </xf>
    <xf numFmtId="0" fontId="0" fillId="0" borderId="30" xfId="0" applyFill="1" applyBorder="1" applyAlignment="1">
      <alignment horizontal="center" vertical="center" wrapText="1"/>
    </xf>
    <xf numFmtId="2" fontId="79" fillId="62" borderId="50" xfId="0" applyNumberFormat="1" applyFont="1" applyFill="1" applyBorder="1"/>
    <xf numFmtId="2" fontId="79" fillId="62" borderId="51" xfId="0" applyNumberFormat="1" applyFont="1" applyFill="1" applyBorder="1" applyAlignment="1">
      <alignment horizontal="center" vertical="center" textRotation="90" wrapText="1"/>
    </xf>
    <xf numFmtId="2" fontId="78" fillId="62" borderId="51" xfId="0" applyNumberFormat="1" applyFont="1" applyFill="1" applyBorder="1" applyAlignment="1">
      <alignment horizontal="center" vertical="center" textRotation="90" wrapText="1"/>
    </xf>
    <xf numFmtId="2" fontId="79" fillId="62" borderId="51" xfId="0" applyNumberFormat="1" applyFont="1" applyFill="1" applyBorder="1" applyAlignment="1">
      <alignment textRotation="88"/>
    </xf>
    <xf numFmtId="2" fontId="79" fillId="62" borderId="51" xfId="0" applyNumberFormat="1" applyFont="1" applyFill="1" applyBorder="1"/>
    <xf numFmtId="43" fontId="78" fillId="62" borderId="51" xfId="0" applyNumberFormat="1" applyFont="1" applyFill="1" applyBorder="1"/>
    <xf numFmtId="2" fontId="79" fillId="63" borderId="50" xfId="0" applyNumberFormat="1" applyFont="1" applyFill="1" applyBorder="1"/>
    <xf numFmtId="2" fontId="79" fillId="63" borderId="51" xfId="0" applyNumberFormat="1" applyFont="1" applyFill="1" applyBorder="1" applyAlignment="1">
      <alignment horizontal="center" vertical="center"/>
    </xf>
    <xf numFmtId="2" fontId="79" fillId="63" borderId="51" xfId="0" applyNumberFormat="1" applyFont="1" applyFill="1" applyBorder="1" applyAlignment="1">
      <alignment horizontal="center" vertical="center" textRotation="90"/>
    </xf>
    <xf numFmtId="2" fontId="79" fillId="63" borderId="51" xfId="0" applyNumberFormat="1" applyFont="1" applyFill="1" applyBorder="1" applyAlignment="1">
      <alignment horizontal="center" vertical="center" textRotation="90" wrapText="1"/>
    </xf>
    <xf numFmtId="2" fontId="79" fillId="63" borderId="51" xfId="0" applyNumberFormat="1" applyFont="1" applyFill="1" applyBorder="1"/>
    <xf numFmtId="2" fontId="79" fillId="63" borderId="51" xfId="869" applyNumberFormat="1" applyFont="1" applyFill="1" applyBorder="1" applyAlignment="1">
      <alignment horizontal="center" vertical="center" wrapText="1"/>
    </xf>
    <xf numFmtId="2" fontId="78" fillId="63" borderId="51" xfId="0" applyNumberFormat="1" applyFont="1" applyFill="1" applyBorder="1"/>
    <xf numFmtId="2" fontId="79" fillId="63" borderId="50" xfId="0" applyNumberFormat="1" applyFont="1" applyFill="1" applyBorder="1" applyAlignment="1">
      <alignment textRotation="90"/>
    </xf>
    <xf numFmtId="0" fontId="79" fillId="62" borderId="0" xfId="0" applyFont="1" applyFill="1" applyAlignment="1">
      <alignment vertical="center"/>
    </xf>
    <xf numFmtId="0" fontId="91" fillId="62" borderId="0" xfId="0" applyFont="1" applyFill="1"/>
    <xf numFmtId="0" fontId="79" fillId="62" borderId="0" xfId="0" applyFont="1" applyFill="1" applyAlignment="1">
      <alignment horizontal="center"/>
    </xf>
    <xf numFmtId="0" fontId="79" fillId="62" borderId="0" xfId="0" applyFont="1" applyFill="1"/>
    <xf numFmtId="0" fontId="79" fillId="62" borderId="0" xfId="0" applyFont="1" applyFill="1" applyAlignment="1">
      <alignment horizontal="center" vertical="center"/>
    </xf>
    <xf numFmtId="2" fontId="79" fillId="62" borderId="50" xfId="0" applyNumberFormat="1" applyFont="1" applyFill="1" applyBorder="1" applyAlignment="1">
      <alignment horizontal="center" vertical="center" textRotation="90" wrapText="1"/>
    </xf>
    <xf numFmtId="0" fontId="79" fillId="62" borderId="51" xfId="0" applyFont="1" applyFill="1" applyBorder="1" applyAlignment="1">
      <alignment horizontal="center" vertical="center" textRotation="90" wrapText="1"/>
    </xf>
    <xf numFmtId="0" fontId="79" fillId="62" borderId="51" xfId="0" applyFont="1" applyFill="1" applyBorder="1"/>
    <xf numFmtId="0" fontId="79" fillId="62" borderId="50" xfId="0" applyFont="1" applyFill="1" applyBorder="1"/>
    <xf numFmtId="43" fontId="79" fillId="62" borderId="51" xfId="0" applyNumberFormat="1" applyFont="1" applyFill="1" applyBorder="1"/>
    <xf numFmtId="43" fontId="79" fillId="62" borderId="0" xfId="0" applyNumberFormat="1" applyFont="1" applyFill="1"/>
    <xf numFmtId="0" fontId="78" fillId="62" borderId="0" xfId="0" applyFont="1" applyFill="1" applyAlignment="1">
      <alignment vertical="center" wrapText="1"/>
    </xf>
    <xf numFmtId="0" fontId="79" fillId="62" borderId="0" xfId="898" applyFont="1" applyFill="1" applyAlignment="1">
      <alignment vertical="center"/>
    </xf>
    <xf numFmtId="0" fontId="79" fillId="62" borderId="0" xfId="898" applyFont="1" applyFill="1" applyAlignment="1">
      <alignment horizontal="center" vertical="center"/>
    </xf>
    <xf numFmtId="43" fontId="80" fillId="62" borderId="0" xfId="0" applyNumberFormat="1" applyFont="1" applyFill="1" applyAlignment="1">
      <alignment horizontal="center" vertical="center"/>
    </xf>
    <xf numFmtId="43" fontId="78" fillId="62" borderId="0" xfId="0" applyNumberFormat="1" applyFont="1" applyFill="1" applyAlignment="1">
      <alignment horizontal="center" vertical="center"/>
    </xf>
    <xf numFmtId="4" fontId="80" fillId="62" borderId="0" xfId="0" applyNumberFormat="1" applyFont="1" applyFill="1" applyAlignment="1">
      <alignment horizontal="center" vertical="center"/>
    </xf>
    <xf numFmtId="0" fontId="79" fillId="62" borderId="0" xfId="0" applyFont="1" applyFill="1" applyAlignment="1">
      <alignment horizontal="left"/>
    </xf>
    <xf numFmtId="0" fontId="79" fillId="62" borderId="0" xfId="0" applyFont="1" applyFill="1" applyAlignment="1">
      <alignment vertical="center" wrapText="1"/>
    </xf>
    <xf numFmtId="173" fontId="79" fillId="62" borderId="0" xfId="0" applyNumberFormat="1" applyFont="1" applyFill="1" applyAlignment="1">
      <alignment horizontal="center" vertical="center"/>
    </xf>
    <xf numFmtId="0" fontId="79" fillId="62" borderId="0" xfId="0" applyFont="1" applyFill="1" applyAlignment="1">
      <alignment horizontal="right"/>
    </xf>
    <xf numFmtId="43" fontId="79" fillId="62" borderId="0" xfId="626" applyFont="1" applyFill="1"/>
    <xf numFmtId="0" fontId="91" fillId="0" borderId="0" xfId="0" applyFont="1" applyFill="1"/>
    <xf numFmtId="0" fontId="79" fillId="0" borderId="0" xfId="0" applyFont="1" applyFill="1" applyAlignment="1">
      <alignment horizontal="center"/>
    </xf>
    <xf numFmtId="0" fontId="78" fillId="0" borderId="0" xfId="0" applyFont="1" applyFill="1" applyAlignment="1">
      <alignment horizontal="left" vertical="center" wrapText="1"/>
    </xf>
    <xf numFmtId="0" fontId="79" fillId="0" borderId="0" xfId="0" applyFont="1" applyFill="1" applyAlignment="1">
      <alignment horizontal="center" vertical="center" wrapText="1"/>
    </xf>
    <xf numFmtId="0" fontId="79" fillId="0" borderId="0" xfId="0" applyFont="1" applyFill="1" applyAlignment="1">
      <alignment horizontal="right" vertical="center"/>
    </xf>
    <xf numFmtId="0" fontId="80" fillId="0" borderId="0" xfId="0" applyFont="1" applyFill="1" applyAlignment="1">
      <alignment vertical="center"/>
    </xf>
    <xf numFmtId="2" fontId="77" fillId="0" borderId="16" xfId="0" applyNumberFormat="1" applyFont="1" applyFill="1" applyBorder="1" applyAlignment="1">
      <alignment horizontal="center" vertical="center" wrapText="1"/>
    </xf>
    <xf numFmtId="2" fontId="81" fillId="0" borderId="16" xfId="626" applyNumberFormat="1" applyFont="1" applyFill="1" applyBorder="1" applyAlignment="1">
      <alignment horizontal="center" vertical="center"/>
    </xf>
    <xf numFmtId="2" fontId="81" fillId="0" borderId="22" xfId="626" applyNumberFormat="1" applyFont="1" applyFill="1" applyBorder="1" applyAlignment="1">
      <alignment horizontal="center" vertical="center"/>
    </xf>
    <xf numFmtId="2" fontId="81" fillId="0" borderId="21" xfId="626" applyNumberFormat="1" applyFont="1" applyFill="1" applyBorder="1" applyAlignment="1">
      <alignment horizontal="center" vertical="center"/>
    </xf>
    <xf numFmtId="2" fontId="81" fillId="0" borderId="21" xfId="626" applyNumberFormat="1" applyFont="1" applyFill="1" applyBorder="1" applyAlignment="1">
      <alignment horizontal="center" vertical="center" wrapText="1"/>
    </xf>
    <xf numFmtId="2" fontId="81" fillId="0" borderId="28" xfId="626" applyNumberFormat="1" applyFont="1" applyFill="1" applyBorder="1" applyAlignment="1">
      <alignment horizontal="center" vertical="center"/>
    </xf>
    <xf numFmtId="2" fontId="81" fillId="0" borderId="28" xfId="0" applyNumberFormat="1" applyFont="1" applyFill="1" applyBorder="1" applyAlignment="1">
      <alignment horizontal="left" vertical="center" wrapText="1"/>
    </xf>
    <xf numFmtId="2" fontId="79" fillId="0" borderId="25" xfId="626" applyNumberFormat="1" applyFont="1" applyFill="1" applyBorder="1" applyAlignment="1">
      <alignment horizontal="center" vertical="center"/>
    </xf>
    <xf numFmtId="2" fontId="79" fillId="0" borderId="36" xfId="626" applyNumberFormat="1" applyFont="1" applyFill="1" applyBorder="1" applyAlignment="1">
      <alignment horizontal="center" vertical="center" wrapText="1"/>
    </xf>
    <xf numFmtId="2" fontId="79" fillId="0" borderId="25" xfId="626" applyNumberFormat="1" applyFont="1" applyFill="1" applyBorder="1" applyAlignment="1">
      <alignment horizontal="center" vertical="center" wrapText="1"/>
    </xf>
    <xf numFmtId="2" fontId="79" fillId="0" borderId="37" xfId="626" applyNumberFormat="1" applyFont="1" applyFill="1" applyBorder="1" applyAlignment="1">
      <alignment horizontal="center" vertical="center" wrapText="1"/>
    </xf>
    <xf numFmtId="2" fontId="79" fillId="0" borderId="38" xfId="626" applyNumberFormat="1" applyFont="1" applyFill="1" applyBorder="1" applyAlignment="1">
      <alignment horizontal="center" vertical="center" wrapText="1"/>
    </xf>
    <xf numFmtId="2" fontId="79" fillId="0" borderId="39" xfId="869" applyNumberFormat="1" applyFont="1" applyFill="1" applyBorder="1" applyAlignment="1">
      <alignment horizontal="center" vertical="center" wrapText="1"/>
    </xf>
    <xf numFmtId="2" fontId="79" fillId="0" borderId="18" xfId="626" applyNumberFormat="1" applyFont="1" applyFill="1" applyBorder="1" applyAlignment="1">
      <alignment horizontal="center" vertical="center"/>
    </xf>
    <xf numFmtId="1" fontId="81" fillId="0" borderId="16" xfId="0" applyNumberFormat="1" applyFont="1" applyFill="1" applyBorder="1" applyAlignment="1">
      <alignment horizontal="center" vertical="center"/>
    </xf>
    <xf numFmtId="2" fontId="81" fillId="0" borderId="16" xfId="1017" applyNumberFormat="1" applyFont="1" applyFill="1" applyBorder="1" applyAlignment="1">
      <alignment horizontal="center" vertical="center"/>
    </xf>
    <xf numFmtId="2" fontId="81" fillId="0" borderId="40" xfId="626" applyNumberFormat="1" applyFont="1" applyFill="1" applyBorder="1" applyAlignment="1">
      <alignment horizontal="center" vertical="center"/>
    </xf>
    <xf numFmtId="0" fontId="79" fillId="0" borderId="16" xfId="0" applyFont="1" applyFill="1" applyBorder="1"/>
    <xf numFmtId="2" fontId="79" fillId="0" borderId="18" xfId="0" applyNumberFormat="1" applyFont="1" applyFill="1" applyBorder="1" applyAlignment="1">
      <alignment horizontal="center" vertical="center" wrapText="1"/>
    </xf>
    <xf numFmtId="0" fontId="79" fillId="0" borderId="18" xfId="0" applyFont="1" applyFill="1" applyBorder="1" applyAlignment="1">
      <alignment horizontal="center" vertical="center" wrapText="1"/>
    </xf>
    <xf numFmtId="2" fontId="81" fillId="0" borderId="16" xfId="0" applyNumberFormat="1" applyFont="1" applyFill="1" applyBorder="1" applyAlignment="1">
      <alignment horizontal="left" vertical="center" wrapText="1"/>
    </xf>
    <xf numFmtId="2" fontId="0" fillId="0" borderId="31" xfId="0" applyNumberFormat="1" applyFill="1" applyBorder="1" applyAlignment="1">
      <alignment horizontal="center" vertical="center" wrapText="1"/>
    </xf>
    <xf numFmtId="2" fontId="79" fillId="0" borderId="25" xfId="605" applyNumberFormat="1" applyFont="1" applyFill="1" applyBorder="1" applyAlignment="1">
      <alignment horizontal="center" vertical="center"/>
    </xf>
    <xf numFmtId="2" fontId="79" fillId="0" borderId="36" xfId="605" applyNumberFormat="1" applyFont="1" applyFill="1" applyBorder="1" applyAlignment="1">
      <alignment horizontal="center" vertical="center" wrapText="1"/>
    </xf>
    <xf numFmtId="2" fontId="79" fillId="0" borderId="25" xfId="605" applyNumberFormat="1" applyFont="1" applyFill="1" applyBorder="1" applyAlignment="1">
      <alignment horizontal="center" vertical="center" wrapText="1"/>
    </xf>
    <xf numFmtId="2" fontId="79" fillId="0" borderId="37" xfId="605" applyNumberFormat="1" applyFont="1" applyFill="1" applyBorder="1" applyAlignment="1">
      <alignment horizontal="center" vertical="center" wrapText="1"/>
    </xf>
    <xf numFmtId="2" fontId="79" fillId="0" borderId="38" xfId="605" applyNumberFormat="1" applyFont="1" applyFill="1" applyBorder="1" applyAlignment="1">
      <alignment horizontal="center" vertical="center" wrapText="1"/>
    </xf>
    <xf numFmtId="49" fontId="81" fillId="0" borderId="16" xfId="0" applyNumberFormat="1" applyFont="1" applyFill="1" applyBorder="1" applyAlignment="1">
      <alignment horizontal="center" vertical="center"/>
    </xf>
    <xf numFmtId="0" fontId="81" fillId="0" borderId="16" xfId="0" applyFont="1" applyFill="1" applyBorder="1" applyAlignment="1">
      <alignment horizontal="left" vertical="center" wrapText="1"/>
    </xf>
    <xf numFmtId="0" fontId="79" fillId="0" borderId="16" xfId="0" applyFont="1" applyFill="1" applyBorder="1" applyAlignment="1">
      <alignment horizontal="center" vertical="center"/>
    </xf>
    <xf numFmtId="2" fontId="79" fillId="0" borderId="16" xfId="0" applyNumberFormat="1" applyFont="1" applyFill="1" applyBorder="1" applyAlignment="1">
      <alignment horizontal="center" vertical="center" wrapText="1"/>
    </xf>
    <xf numFmtId="0" fontId="79" fillId="0" borderId="16" xfId="0" applyFont="1" applyFill="1" applyBorder="1" applyAlignment="1">
      <alignment horizontal="center" vertical="center" wrapText="1"/>
    </xf>
    <xf numFmtId="2" fontId="79" fillId="0" borderId="16" xfId="869" applyNumberFormat="1" applyFont="1" applyFill="1" applyBorder="1" applyAlignment="1">
      <alignment horizontal="center" vertical="center" wrapText="1"/>
    </xf>
    <xf numFmtId="2" fontId="81" fillId="0" borderId="42" xfId="0" applyNumberFormat="1" applyFont="1" applyFill="1" applyBorder="1" applyAlignment="1">
      <alignment horizontal="center" vertical="center"/>
    </xf>
    <xf numFmtId="2" fontId="81" fillId="0" borderId="42" xfId="1017" applyNumberFormat="1" applyFont="1" applyFill="1" applyBorder="1" applyAlignment="1">
      <alignment vertical="top" wrapText="1"/>
    </xf>
    <xf numFmtId="2" fontId="81" fillId="0" borderId="42" xfId="1017" applyNumberFormat="1" applyFont="1" applyFill="1" applyBorder="1" applyAlignment="1">
      <alignment horizontal="center" vertical="center"/>
    </xf>
    <xf numFmtId="1" fontId="81" fillId="0" borderId="41" xfId="0" applyNumberFormat="1" applyFont="1" applyFill="1" applyBorder="1" applyAlignment="1">
      <alignment horizontal="center" vertical="center"/>
    </xf>
    <xf numFmtId="1" fontId="81" fillId="0" borderId="22" xfId="0" applyNumberFormat="1" applyFont="1" applyFill="1" applyBorder="1" applyAlignment="1">
      <alignment horizontal="left" vertical="center"/>
    </xf>
    <xf numFmtId="1" fontId="81" fillId="0" borderId="22" xfId="0" applyNumberFormat="1" applyFont="1" applyFill="1" applyBorder="1" applyAlignment="1">
      <alignment horizontal="center" vertical="center"/>
    </xf>
    <xf numFmtId="0" fontId="81" fillId="0" borderId="21" xfId="1017" applyFont="1" applyFill="1" applyBorder="1" applyAlignment="1">
      <alignment vertical="top" wrapText="1"/>
    </xf>
    <xf numFmtId="0" fontId="81" fillId="0" borderId="21" xfId="1017" applyFont="1" applyFill="1" applyBorder="1" applyAlignment="1">
      <alignment horizontal="center" vertical="center"/>
    </xf>
    <xf numFmtId="1" fontId="81" fillId="0" borderId="22" xfId="0" applyNumberFormat="1" applyFont="1" applyFill="1" applyBorder="1" applyAlignment="1">
      <alignment horizontal="left" vertical="center" wrapText="1"/>
    </xf>
    <xf numFmtId="2" fontId="81" fillId="0" borderId="22" xfId="1017" applyNumberFormat="1" applyFont="1" applyFill="1" applyBorder="1" applyAlignment="1">
      <alignment vertical="center" wrapText="1"/>
    </xf>
    <xf numFmtId="2" fontId="81" fillId="55" borderId="22" xfId="1017" applyNumberFormat="1" applyFont="1" applyFill="1" applyBorder="1" applyAlignment="1">
      <alignment vertical="center" wrapText="1"/>
    </xf>
    <xf numFmtId="2" fontId="81" fillId="55" borderId="22" xfId="1017" applyNumberFormat="1" applyFont="1" applyFill="1" applyBorder="1" applyAlignment="1">
      <alignment horizontal="center" vertical="center"/>
    </xf>
    <xf numFmtId="2" fontId="81" fillId="55" borderId="22" xfId="626" applyNumberFormat="1" applyFont="1" applyFill="1" applyBorder="1" applyAlignment="1">
      <alignment horizontal="center" vertical="center"/>
    </xf>
    <xf numFmtId="43" fontId="79" fillId="62" borderId="0" xfId="0" applyNumberFormat="1" applyFont="1" applyFill="1" applyAlignment="1">
      <alignment vertical="center"/>
    </xf>
    <xf numFmtId="2" fontId="79" fillId="62" borderId="50" xfId="0" applyNumberFormat="1" applyFont="1" applyFill="1" applyBorder="1" applyAlignment="1">
      <alignment vertical="center"/>
    </xf>
    <xf numFmtId="0" fontId="79" fillId="62" borderId="51" xfId="0" applyFont="1" applyFill="1" applyBorder="1" applyAlignment="1">
      <alignment vertical="center"/>
    </xf>
    <xf numFmtId="2" fontId="79" fillId="62" borderId="51" xfId="0" applyNumberFormat="1" applyFont="1" applyFill="1" applyBorder="1" applyAlignment="1">
      <alignment vertical="center"/>
    </xf>
    <xf numFmtId="43" fontId="78" fillId="62" borderId="51" xfId="0" applyNumberFormat="1" applyFont="1" applyFill="1" applyBorder="1" applyAlignment="1">
      <alignment vertical="center"/>
    </xf>
    <xf numFmtId="2" fontId="79" fillId="62" borderId="50" xfId="0" applyNumberFormat="1" applyFont="1" applyFill="1" applyBorder="1" applyAlignment="1">
      <alignment textRotation="90" wrapText="1"/>
    </xf>
    <xf numFmtId="0" fontId="79" fillId="62" borderId="0" xfId="0" applyFont="1" applyFill="1" applyAlignment="1">
      <alignment textRotation="90" wrapText="1"/>
    </xf>
    <xf numFmtId="43" fontId="79" fillId="62" borderId="50" xfId="0" applyNumberFormat="1" applyFont="1" applyFill="1" applyBorder="1"/>
    <xf numFmtId="0" fontId="78" fillId="62" borderId="0" xfId="0" applyFont="1" applyFill="1" applyBorder="1" applyAlignment="1">
      <alignment vertical="center" wrapText="1"/>
    </xf>
    <xf numFmtId="0" fontId="79" fillId="62" borderId="0" xfId="898" applyFont="1" applyFill="1" applyBorder="1" applyAlignment="1">
      <alignment vertical="center"/>
    </xf>
    <xf numFmtId="0" fontId="79" fillId="62" borderId="0" xfId="898" applyFont="1" applyFill="1" applyBorder="1" applyAlignment="1">
      <alignment horizontal="center" vertical="center"/>
    </xf>
    <xf numFmtId="43" fontId="80" fillId="62" borderId="0" xfId="0" applyNumberFormat="1" applyFont="1" applyFill="1" applyBorder="1" applyAlignment="1">
      <alignment horizontal="center" vertical="center"/>
    </xf>
    <xf numFmtId="43" fontId="78" fillId="62" borderId="0" xfId="0" applyNumberFormat="1" applyFont="1" applyFill="1" applyBorder="1" applyAlignment="1">
      <alignment horizontal="center" vertical="center"/>
    </xf>
    <xf numFmtId="4" fontId="80" fillId="62" borderId="0" xfId="0" applyNumberFormat="1" applyFont="1" applyFill="1" applyBorder="1" applyAlignment="1">
      <alignment horizontal="center" vertical="center"/>
    </xf>
    <xf numFmtId="0" fontId="79" fillId="62" borderId="0" xfId="0" applyFont="1" applyFill="1" applyAlignment="1"/>
    <xf numFmtId="0" fontId="15" fillId="62" borderId="0" xfId="0" applyFont="1" applyFill="1" applyAlignment="1">
      <alignment vertical="center"/>
    </xf>
    <xf numFmtId="0" fontId="73" fillId="62" borderId="0" xfId="0" applyFont="1" applyFill="1" applyAlignment="1">
      <alignment vertical="center"/>
    </xf>
    <xf numFmtId="0" fontId="15" fillId="62" borderId="0" xfId="0" applyFont="1" applyFill="1" applyAlignment="1">
      <alignment horizontal="center" vertical="center"/>
    </xf>
    <xf numFmtId="0" fontId="15" fillId="62" borderId="0" xfId="1073" applyFont="1" applyFill="1" applyBorder="1" applyAlignment="1">
      <alignment vertical="center" wrapText="1"/>
    </xf>
    <xf numFmtId="0" fontId="15" fillId="62" borderId="0" xfId="1073" applyFont="1" applyFill="1" applyAlignment="1">
      <alignment vertical="center" wrapText="1"/>
    </xf>
    <xf numFmtId="0" fontId="15" fillId="0" borderId="0" xfId="1073" applyFont="1" applyFill="1" applyAlignment="1">
      <alignment vertical="center" wrapText="1"/>
    </xf>
    <xf numFmtId="0" fontId="15" fillId="0" borderId="0" xfId="0" applyFont="1" applyFill="1" applyAlignment="1">
      <alignment horizontal="center" vertical="center"/>
    </xf>
    <xf numFmtId="0" fontId="15" fillId="0" borderId="16" xfId="0"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18" xfId="0" applyFont="1" applyFill="1" applyBorder="1" applyAlignment="1">
      <alignment horizontal="right" vertical="center"/>
    </xf>
    <xf numFmtId="4" fontId="73" fillId="0" borderId="18" xfId="0" applyNumberFormat="1" applyFont="1" applyFill="1" applyBorder="1" applyAlignment="1">
      <alignment horizontal="center" vertical="center" wrapText="1"/>
    </xf>
    <xf numFmtId="0" fontId="73" fillId="0" borderId="16" xfId="0" applyNumberFormat="1" applyFont="1" applyFill="1" applyBorder="1" applyAlignment="1">
      <alignment horizontal="center" vertical="center"/>
    </xf>
    <xf numFmtId="0" fontId="73" fillId="0" borderId="19" xfId="0" applyNumberFormat="1" applyFont="1" applyFill="1" applyBorder="1" applyAlignment="1">
      <alignment horizontal="center" vertical="center"/>
    </xf>
    <xf numFmtId="4" fontId="15" fillId="0" borderId="0" xfId="0" applyNumberFormat="1" applyFont="1" applyFill="1" applyAlignment="1">
      <alignment horizontal="center" vertical="center"/>
    </xf>
    <xf numFmtId="0" fontId="15" fillId="0" borderId="0" xfId="0" applyFont="1" applyFill="1"/>
    <xf numFmtId="0" fontId="15" fillId="0" borderId="0" xfId="0" applyFont="1" applyFill="1" applyAlignment="1">
      <alignment wrapText="1"/>
    </xf>
    <xf numFmtId="14" fontId="15" fillId="0" borderId="0" xfId="0" applyNumberFormat="1" applyFont="1" applyFill="1"/>
    <xf numFmtId="0" fontId="15" fillId="0" borderId="0" xfId="0" applyFont="1" applyFill="1" applyAlignment="1">
      <alignment horizontal="center"/>
    </xf>
    <xf numFmtId="0" fontId="15" fillId="0" borderId="0" xfId="0" applyFont="1" applyFill="1" applyAlignment="1"/>
    <xf numFmtId="0" fontId="15" fillId="0" borderId="0" xfId="0" applyFont="1" applyFill="1" applyAlignment="1">
      <alignment horizontal="left"/>
    </xf>
    <xf numFmtId="0" fontId="15" fillId="62" borderId="51" xfId="0" applyFont="1" applyFill="1" applyBorder="1" applyAlignment="1">
      <alignment vertical="center"/>
    </xf>
    <xf numFmtId="4" fontId="15" fillId="62" borderId="51" xfId="0" applyNumberFormat="1" applyFont="1" applyFill="1" applyBorder="1" applyAlignment="1">
      <alignment vertical="center"/>
    </xf>
    <xf numFmtId="43" fontId="73" fillId="62" borderId="51" xfId="0" applyNumberFormat="1" applyFont="1" applyFill="1" applyBorder="1" applyAlignment="1">
      <alignment vertical="center"/>
    </xf>
    <xf numFmtId="0" fontId="15" fillId="62" borderId="52" xfId="0" applyFont="1" applyFill="1" applyBorder="1" applyAlignment="1">
      <alignment vertical="center"/>
    </xf>
    <xf numFmtId="44" fontId="15" fillId="62" borderId="51" xfId="0" applyNumberFormat="1" applyFont="1" applyFill="1" applyBorder="1" applyAlignment="1">
      <alignment vertical="center"/>
    </xf>
    <xf numFmtId="0" fontId="15" fillId="0" borderId="0" xfId="0" applyFont="1" applyAlignment="1">
      <alignment horizontal="right" vertical="center"/>
    </xf>
    <xf numFmtId="0" fontId="15" fillId="0" borderId="44" xfId="0" applyFont="1" applyBorder="1" applyAlignment="1">
      <alignment horizontal="center" vertical="center" wrapText="1"/>
    </xf>
    <xf numFmtId="0" fontId="15" fillId="0" borderId="0" xfId="0" applyFont="1" applyFill="1" applyAlignment="1">
      <alignment horizontal="left" vertical="center"/>
    </xf>
    <xf numFmtId="0" fontId="75" fillId="0" borderId="0" xfId="0" applyFont="1" applyAlignment="1">
      <alignment horizontal="center" vertical="center"/>
    </xf>
    <xf numFmtId="0" fontId="15" fillId="0" borderId="0" xfId="1073" applyFont="1" applyAlignment="1">
      <alignment vertical="center"/>
    </xf>
    <xf numFmtId="0" fontId="73" fillId="0" borderId="23" xfId="0" applyFont="1" applyFill="1" applyBorder="1" applyAlignment="1">
      <alignment horizontal="center" vertical="center" wrapText="1"/>
    </xf>
    <xf numFmtId="0" fontId="73" fillId="0" borderId="43" xfId="0" applyFont="1" applyFill="1" applyBorder="1" applyAlignment="1">
      <alignment horizontal="center" vertical="center" wrapText="1"/>
    </xf>
    <xf numFmtId="0" fontId="73" fillId="0" borderId="19" xfId="0" applyFont="1" applyFill="1" applyBorder="1" applyAlignment="1">
      <alignment horizontal="center" vertical="center" wrapText="1"/>
    </xf>
    <xf numFmtId="4"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5" fillId="0" borderId="0" xfId="1073" applyFont="1" applyFill="1" applyBorder="1" applyAlignment="1">
      <alignment vertical="center" wrapText="1"/>
    </xf>
    <xf numFmtId="0" fontId="15" fillId="0" borderId="0" xfId="1073" applyFont="1" applyAlignment="1">
      <alignment vertical="center" wrapText="1"/>
    </xf>
    <xf numFmtId="0" fontId="15" fillId="55" borderId="16" xfId="0" applyFont="1" applyFill="1" applyBorder="1" applyAlignment="1">
      <alignment horizontal="center" vertical="center"/>
    </xf>
    <xf numFmtId="0" fontId="15" fillId="0" borderId="0" xfId="0" applyFont="1" applyAlignment="1">
      <alignment horizontal="center"/>
    </xf>
    <xf numFmtId="14" fontId="15" fillId="0" borderId="0" xfId="0" applyNumberFormat="1" applyFont="1" applyAlignment="1">
      <alignment horizontal="left"/>
    </xf>
    <xf numFmtId="0" fontId="15" fillId="0" borderId="0" xfId="0" applyFont="1" applyAlignment="1">
      <alignment horizontal="left"/>
    </xf>
    <xf numFmtId="0" fontId="73" fillId="0" borderId="16" xfId="0" applyFont="1" applyBorder="1" applyAlignment="1">
      <alignment horizontal="right"/>
    </xf>
    <xf numFmtId="4" fontId="73" fillId="0" borderId="16" xfId="0" applyNumberFormat="1" applyFont="1" applyBorder="1" applyAlignment="1">
      <alignment horizontal="center"/>
    </xf>
    <xf numFmtId="0" fontId="73" fillId="0" borderId="16" xfId="0" applyFont="1" applyBorder="1" applyAlignment="1">
      <alignment horizontal="center"/>
    </xf>
    <xf numFmtId="0" fontId="15" fillId="0" borderId="16" xfId="0" applyFont="1" applyBorder="1" applyAlignment="1">
      <alignment horizontal="right"/>
    </xf>
    <xf numFmtId="4" fontId="15" fillId="0" borderId="16" xfId="0" applyNumberFormat="1" applyFont="1" applyBorder="1" applyAlignment="1">
      <alignment horizontal="center"/>
    </xf>
    <xf numFmtId="0" fontId="15" fillId="0" borderId="0" xfId="1073" applyFont="1" applyFill="1" applyAlignment="1">
      <alignment vertical="center" wrapText="1"/>
    </xf>
    <xf numFmtId="0" fontId="72" fillId="0" borderId="0" xfId="0" applyFont="1" applyFill="1" applyAlignment="1">
      <alignment horizontal="center" vertical="center"/>
    </xf>
    <xf numFmtId="0" fontId="15" fillId="0" borderId="0" xfId="1073" applyFont="1" applyFill="1" applyAlignment="1">
      <alignment vertical="center"/>
    </xf>
    <xf numFmtId="0" fontId="15" fillId="0" borderId="0" xfId="0" applyFont="1" applyFill="1" applyAlignment="1">
      <alignment horizontal="left" vertical="center" wrapText="1"/>
    </xf>
    <xf numFmtId="0" fontId="15" fillId="55" borderId="16" xfId="0" applyFont="1" applyFill="1" applyBorder="1" applyAlignment="1">
      <alignment horizontal="center" vertical="center" wrapText="1"/>
    </xf>
    <xf numFmtId="0" fontId="15" fillId="55" borderId="46" xfId="0" applyFont="1" applyFill="1" applyBorder="1" applyAlignment="1">
      <alignment horizontal="center" vertical="center" wrapText="1"/>
    </xf>
    <xf numFmtId="0" fontId="15" fillId="62" borderId="51" xfId="0" applyFont="1" applyFill="1" applyBorder="1" applyAlignment="1">
      <alignment horizontal="center" vertical="center" textRotation="90" wrapText="1"/>
    </xf>
    <xf numFmtId="0" fontId="73" fillId="62" borderId="51" xfId="0" applyFont="1" applyFill="1" applyBorder="1" applyAlignment="1">
      <alignment horizontal="center" vertical="center" textRotation="90"/>
    </xf>
    <xf numFmtId="0" fontId="73" fillId="0" borderId="23" xfId="0" applyFont="1" applyFill="1" applyBorder="1" applyAlignment="1">
      <alignment horizontal="right" vertical="center" wrapText="1"/>
    </xf>
    <xf numFmtId="0" fontId="73" fillId="0" borderId="43" xfId="0" applyFont="1" applyFill="1" applyBorder="1" applyAlignment="1">
      <alignment horizontal="right" vertical="center" wrapText="1"/>
    </xf>
    <xf numFmtId="0" fontId="73" fillId="0" borderId="19" xfId="0" applyFont="1" applyFill="1" applyBorder="1" applyAlignment="1">
      <alignment horizontal="right" vertical="center" wrapText="1"/>
    </xf>
    <xf numFmtId="0" fontId="73" fillId="0" borderId="45" xfId="0" applyNumberFormat="1" applyFont="1" applyFill="1" applyBorder="1" applyAlignment="1">
      <alignment horizontal="right" vertical="center"/>
    </xf>
    <xf numFmtId="0" fontId="73" fillId="0" borderId="30" xfId="0" applyNumberFormat="1" applyFont="1" applyFill="1" applyBorder="1" applyAlignment="1">
      <alignment horizontal="right" vertical="center"/>
    </xf>
    <xf numFmtId="0" fontId="74" fillId="0" borderId="23" xfId="0" applyFont="1" applyFill="1" applyBorder="1" applyAlignment="1">
      <alignment horizontal="right" vertical="center" wrapText="1"/>
    </xf>
    <xf numFmtId="0" fontId="74" fillId="0" borderId="43" xfId="0" applyFont="1" applyFill="1" applyBorder="1" applyAlignment="1">
      <alignment horizontal="right" vertical="center" wrapText="1"/>
    </xf>
    <xf numFmtId="0" fontId="74" fillId="0" borderId="19" xfId="0" applyFont="1" applyFill="1" applyBorder="1" applyAlignment="1">
      <alignment horizontal="right" vertical="center" wrapText="1"/>
    </xf>
    <xf numFmtId="0" fontId="15" fillId="62" borderId="53" xfId="0" applyFont="1" applyFill="1" applyBorder="1" applyAlignment="1">
      <alignment horizontal="center" vertical="center" textRotation="90"/>
    </xf>
    <xf numFmtId="0" fontId="15" fillId="62" borderId="54" xfId="0" applyFont="1" applyFill="1" applyBorder="1" applyAlignment="1">
      <alignment horizontal="center" vertical="center" textRotation="90"/>
    </xf>
    <xf numFmtId="0" fontId="15" fillId="62" borderId="55" xfId="0" applyFont="1" applyFill="1" applyBorder="1" applyAlignment="1">
      <alignment horizontal="center" vertical="center" textRotation="90"/>
    </xf>
    <xf numFmtId="0" fontId="15" fillId="62" borderId="56" xfId="0" applyFont="1" applyFill="1" applyBorder="1" applyAlignment="1">
      <alignment horizontal="center" vertical="center"/>
    </xf>
    <xf numFmtId="0" fontId="15" fillId="62" borderId="57" xfId="0" applyFont="1" applyFill="1" applyBorder="1" applyAlignment="1">
      <alignment horizontal="center" vertical="center"/>
    </xf>
    <xf numFmtId="0" fontId="15" fillId="62" borderId="58" xfId="0" applyFont="1" applyFill="1" applyBorder="1" applyAlignment="1">
      <alignment horizontal="center" vertical="center"/>
    </xf>
    <xf numFmtId="0" fontId="15" fillId="62" borderId="53" xfId="0" applyFont="1" applyFill="1" applyBorder="1" applyAlignment="1">
      <alignment horizontal="center" vertical="center"/>
    </xf>
    <xf numFmtId="0" fontId="15" fillId="62" borderId="54" xfId="0" applyFont="1" applyFill="1" applyBorder="1" applyAlignment="1">
      <alignment horizontal="center" vertical="center"/>
    </xf>
    <xf numFmtId="0" fontId="15" fillId="62" borderId="55" xfId="0" applyFont="1" applyFill="1" applyBorder="1" applyAlignment="1">
      <alignment horizontal="center" vertical="center"/>
    </xf>
    <xf numFmtId="2" fontId="79" fillId="63" borderId="0" xfId="0" applyNumberFormat="1" applyFont="1" applyFill="1" applyAlignment="1">
      <alignment horizontal="left"/>
    </xf>
    <xf numFmtId="2" fontId="78" fillId="64" borderId="16" xfId="0" applyNumberFormat="1" applyFont="1" applyFill="1" applyBorder="1" applyAlignment="1">
      <alignment horizontal="right" vertical="center" wrapText="1"/>
    </xf>
    <xf numFmtId="2" fontId="79" fillId="63" borderId="0" xfId="0" applyNumberFormat="1" applyFont="1" applyFill="1" applyAlignment="1">
      <alignment horizontal="left" vertical="center"/>
    </xf>
    <xf numFmtId="2" fontId="79" fillId="0" borderId="0" xfId="1073" applyNumberFormat="1" applyFont="1" applyFill="1" applyAlignment="1">
      <alignment vertical="center" wrapText="1"/>
    </xf>
    <xf numFmtId="2" fontId="79" fillId="55" borderId="16" xfId="0" applyNumberFormat="1" applyFont="1" applyFill="1" applyBorder="1" applyAlignment="1">
      <alignment horizontal="center" vertical="center" textRotation="90" wrapText="1"/>
    </xf>
    <xf numFmtId="2" fontId="79" fillId="55" borderId="16" xfId="0" applyNumberFormat="1" applyFont="1" applyFill="1" applyBorder="1" applyAlignment="1">
      <alignment horizontal="center" vertical="center" wrapText="1"/>
    </xf>
    <xf numFmtId="2" fontId="78" fillId="64" borderId="47" xfId="0" applyNumberFormat="1" applyFont="1" applyFill="1" applyBorder="1" applyAlignment="1">
      <alignment horizontal="center" vertical="center"/>
    </xf>
    <xf numFmtId="2" fontId="78" fillId="0" borderId="48" xfId="0" applyNumberFormat="1" applyFont="1" applyFill="1" applyBorder="1" applyAlignment="1">
      <alignment horizontal="center" wrapText="1"/>
    </xf>
    <xf numFmtId="2" fontId="79" fillId="0" borderId="0" xfId="1073" applyNumberFormat="1" applyFont="1" applyFill="1" applyAlignment="1">
      <alignment vertical="center"/>
    </xf>
    <xf numFmtId="2" fontId="79" fillId="62" borderId="0" xfId="0" applyNumberFormat="1" applyFont="1" applyFill="1" applyAlignment="1">
      <alignment horizontal="left" vertical="center"/>
    </xf>
    <xf numFmtId="2" fontId="79" fillId="62" borderId="0" xfId="0" applyNumberFormat="1" applyFont="1" applyFill="1" applyAlignment="1">
      <alignment horizontal="left"/>
    </xf>
    <xf numFmtId="2" fontId="78" fillId="0" borderId="16" xfId="0" applyNumberFormat="1" applyFont="1" applyFill="1" applyBorder="1" applyAlignment="1">
      <alignment horizontal="right" vertical="center" wrapText="1"/>
    </xf>
    <xf numFmtId="2" fontId="78" fillId="0" borderId="47" xfId="0" applyNumberFormat="1" applyFont="1" applyFill="1" applyBorder="1" applyAlignment="1">
      <alignment horizontal="center" vertical="center"/>
    </xf>
    <xf numFmtId="0" fontId="79" fillId="62" borderId="0" xfId="0" applyFont="1" applyFill="1" applyAlignment="1">
      <alignment horizontal="left"/>
    </xf>
    <xf numFmtId="0" fontId="78" fillId="0" borderId="16" xfId="0" applyFont="1" applyFill="1" applyBorder="1" applyAlignment="1">
      <alignment horizontal="right" vertical="center" wrapText="1"/>
    </xf>
    <xf numFmtId="14" fontId="79" fillId="62" borderId="0" xfId="0" applyNumberFormat="1" applyFont="1" applyFill="1" applyAlignment="1">
      <alignment horizontal="left" vertical="center"/>
    </xf>
    <xf numFmtId="0" fontId="79" fillId="0" borderId="0" xfId="1073" applyFont="1" applyFill="1" applyAlignment="1">
      <alignment vertical="center" wrapText="1"/>
    </xf>
    <xf numFmtId="2" fontId="79" fillId="55" borderId="25" xfId="0" applyNumberFormat="1" applyFont="1" applyFill="1" applyBorder="1" applyAlignment="1">
      <alignment horizontal="center" vertical="center" textRotation="90" wrapText="1"/>
    </xf>
    <xf numFmtId="2" fontId="79" fillId="55" borderId="25" xfId="0" applyNumberFormat="1" applyFont="1" applyFill="1" applyBorder="1" applyAlignment="1">
      <alignment horizontal="center" vertical="center" wrapText="1"/>
    </xf>
    <xf numFmtId="0" fontId="79" fillId="0" borderId="0" xfId="1073" applyFont="1" applyFill="1" applyAlignment="1">
      <alignment vertical="center"/>
    </xf>
    <xf numFmtId="2" fontId="78" fillId="62" borderId="47" xfId="0" applyNumberFormat="1" applyFont="1" applyFill="1" applyBorder="1" applyAlignment="1">
      <alignment horizontal="center" vertical="center"/>
    </xf>
    <xf numFmtId="2" fontId="78" fillId="62" borderId="48" xfId="0" applyNumberFormat="1" applyFont="1" applyFill="1" applyBorder="1" applyAlignment="1">
      <alignment horizontal="center" wrapText="1"/>
    </xf>
    <xf numFmtId="0" fontId="79" fillId="62" borderId="0" xfId="1073" applyFont="1" applyFill="1" applyAlignment="1">
      <alignment vertical="center"/>
    </xf>
    <xf numFmtId="0" fontId="79" fillId="62" borderId="0" xfId="1073" applyFont="1" applyFill="1" applyBorder="1" applyAlignment="1">
      <alignment vertical="center" wrapText="1"/>
    </xf>
    <xf numFmtId="0" fontId="79" fillId="62" borderId="0" xfId="1073" applyFont="1" applyFill="1" applyAlignment="1">
      <alignment vertical="center" wrapText="1"/>
    </xf>
  </cellXfs>
  <cellStyles count="1168">
    <cellStyle name="_UAS_VS" xfId="1"/>
    <cellStyle name="_UAS_VS 2" xfId="2"/>
    <cellStyle name="1. izcēlums" xfId="1162" hidden="1"/>
    <cellStyle name="1. izcēlums 2" xfId="3"/>
    <cellStyle name="2. izcēlums" xfId="1163" hidden="1"/>
    <cellStyle name="2. izcēlums 2" xfId="4"/>
    <cellStyle name="20% - Accent1 10" xfId="5"/>
    <cellStyle name="20% - Accent1 11" xfId="6"/>
    <cellStyle name="20% - Accent1 12" xfId="7"/>
    <cellStyle name="20% - Accent1 13" xfId="8"/>
    <cellStyle name="20% - Accent1 14" xfId="9"/>
    <cellStyle name="20% - Accent1 15" xfId="10"/>
    <cellStyle name="20% - Accent1 16" xfId="11"/>
    <cellStyle name="20% - Accent1 17" xfId="12"/>
    <cellStyle name="20% - Accent1 18" xfId="13"/>
    <cellStyle name="20% - Accent1 19" xfId="14"/>
    <cellStyle name="20% - Accent1 2" xfId="15"/>
    <cellStyle name="20% - Accent1 2 2" xfId="16"/>
    <cellStyle name="20% - Accent1 2 3" xfId="17"/>
    <cellStyle name="20% - Accent1 2 4" xfId="18"/>
    <cellStyle name="20% - Accent1 20" xfId="19"/>
    <cellStyle name="20% - Accent1 21" xfId="20"/>
    <cellStyle name="20% - Accent1 22" xfId="21"/>
    <cellStyle name="20% - Accent1 23" xfId="22"/>
    <cellStyle name="20% - Accent1 24" xfId="23"/>
    <cellStyle name="20% - Accent1 25" xfId="24"/>
    <cellStyle name="20% - Accent1 3" xfId="25"/>
    <cellStyle name="20% - Accent1 3 2" xfId="26"/>
    <cellStyle name="20% - Accent1 3 3" xfId="27"/>
    <cellStyle name="20% - Accent1 4" xfId="28"/>
    <cellStyle name="20% - Accent1 4 2" xfId="29"/>
    <cellStyle name="20% - Accent1 4 3" xfId="30"/>
    <cellStyle name="20% - Accent1 5" xfId="31"/>
    <cellStyle name="20% - Accent1 5 2" xfId="32"/>
    <cellStyle name="20% - Accent1 5 3" xfId="33"/>
    <cellStyle name="20% - Accent1 6" xfId="34"/>
    <cellStyle name="20% - Accent1 6 2" xfId="35"/>
    <cellStyle name="20% - Accent1 6 3" xfId="36"/>
    <cellStyle name="20% - Accent1 7" xfId="37"/>
    <cellStyle name="20% - Accent1 7 2" xfId="38"/>
    <cellStyle name="20% - Accent1 8" xfId="39"/>
    <cellStyle name="20% - Accent1 9" xfId="40"/>
    <cellStyle name="20% - Accent2 10" xfId="41"/>
    <cellStyle name="20% - Accent2 2" xfId="42"/>
    <cellStyle name="20% - Accent2 2 2" xfId="43"/>
    <cellStyle name="20% - Accent2 2 3" xfId="44"/>
    <cellStyle name="20% - Accent2 2 4" xfId="45"/>
    <cellStyle name="20% - Accent2 2 5" xfId="46"/>
    <cellStyle name="20% - Accent2 3" xfId="47"/>
    <cellStyle name="20% - Accent2 4" xfId="48"/>
    <cellStyle name="20% - Accent2 5" xfId="49"/>
    <cellStyle name="20% - Accent2 6" xfId="50"/>
    <cellStyle name="20% - Accent2 7" xfId="51"/>
    <cellStyle name="20% - Accent2 8" xfId="52"/>
    <cellStyle name="20% - Accent2 9" xfId="53"/>
    <cellStyle name="20% - Accent3 10" xfId="54"/>
    <cellStyle name="20% - Accent3 2" xfId="55"/>
    <cellStyle name="20% - Accent3 2 2" xfId="56"/>
    <cellStyle name="20% - Accent3 2 3" xfId="57"/>
    <cellStyle name="20% - Accent3 2 4" xfId="58"/>
    <cellStyle name="20% - Accent3 2 5" xfId="59"/>
    <cellStyle name="20% - Accent3 3" xfId="60"/>
    <cellStyle name="20% - Accent3 4" xfId="61"/>
    <cellStyle name="20% - Accent3 5" xfId="62"/>
    <cellStyle name="20% - Accent3 6" xfId="63"/>
    <cellStyle name="20% - Accent3 7" xfId="64"/>
    <cellStyle name="20% - Accent3 8" xfId="65"/>
    <cellStyle name="20% - Accent3 9" xfId="66"/>
    <cellStyle name="20% - Accent4 10" xfId="67"/>
    <cellStyle name="20% - Accent4 11" xfId="68"/>
    <cellStyle name="20% - Accent4 12" xfId="69"/>
    <cellStyle name="20% - Accent4 13" xfId="70"/>
    <cellStyle name="20% - Accent4 14" xfId="71"/>
    <cellStyle name="20% - Accent4 15" xfId="72"/>
    <cellStyle name="20% - Accent4 16" xfId="73"/>
    <cellStyle name="20% - Accent4 17" xfId="74"/>
    <cellStyle name="20% - Accent4 18" xfId="75"/>
    <cellStyle name="20% - Accent4 19" xfId="76"/>
    <cellStyle name="20% - Accent4 2" xfId="77"/>
    <cellStyle name="20% - Accent4 2 2" xfId="78"/>
    <cellStyle name="20% - Accent4 2 3" xfId="79"/>
    <cellStyle name="20% - Accent4 2 4" xfId="80"/>
    <cellStyle name="20% - Accent4 2 5" xfId="81"/>
    <cellStyle name="20% - Accent4 20" xfId="82"/>
    <cellStyle name="20% - Accent4 21" xfId="83"/>
    <cellStyle name="20% - Accent4 22" xfId="84"/>
    <cellStyle name="20% - Accent4 23" xfId="85"/>
    <cellStyle name="20% - Accent4 24" xfId="86"/>
    <cellStyle name="20% - Accent4 25" xfId="87"/>
    <cellStyle name="20% - Accent4 3" xfId="88"/>
    <cellStyle name="20% - Accent4 3 2" xfId="89"/>
    <cellStyle name="20% - Accent4 3 3" xfId="90"/>
    <cellStyle name="20% - Accent4 4" xfId="91"/>
    <cellStyle name="20% - Accent4 4 2" xfId="92"/>
    <cellStyle name="20% - Accent4 4 3" xfId="93"/>
    <cellStyle name="20% - Accent4 5" xfId="94"/>
    <cellStyle name="20% - Accent4 5 2" xfId="95"/>
    <cellStyle name="20% - Accent4 5 3" xfId="96"/>
    <cellStyle name="20% - Accent4 6" xfId="97"/>
    <cellStyle name="20% - Accent4 6 2" xfId="98"/>
    <cellStyle name="20% - Accent4 6 3" xfId="99"/>
    <cellStyle name="20% - Accent4 7" xfId="100"/>
    <cellStyle name="20% - Accent4 7 2" xfId="101"/>
    <cellStyle name="20% - Accent4 8" xfId="102"/>
    <cellStyle name="20% - Accent4 9" xfId="103"/>
    <cellStyle name="20% - Accent5 10" xfId="104"/>
    <cellStyle name="20% - Accent5 11" xfId="105"/>
    <cellStyle name="20% - Accent5 12" xfId="106"/>
    <cellStyle name="20% - Accent5 13" xfId="107"/>
    <cellStyle name="20% - Accent5 14" xfId="108"/>
    <cellStyle name="20% - Accent5 15" xfId="109"/>
    <cellStyle name="20% - Accent5 16" xfId="110"/>
    <cellStyle name="20% - Accent5 17" xfId="111"/>
    <cellStyle name="20% - Accent5 18" xfId="112"/>
    <cellStyle name="20% - Accent5 19" xfId="113"/>
    <cellStyle name="20% - Accent5 2" xfId="114"/>
    <cellStyle name="20% - Accent5 2 2" xfId="115"/>
    <cellStyle name="20% - Accent5 2 3" xfId="116"/>
    <cellStyle name="20% - Accent5 2 4" xfId="117"/>
    <cellStyle name="20% - Accent5 20" xfId="118"/>
    <cellStyle name="20% - Accent5 21" xfId="119"/>
    <cellStyle name="20% - Accent5 22" xfId="120"/>
    <cellStyle name="20% - Accent5 23" xfId="121"/>
    <cellStyle name="20% - Accent5 24" xfId="122"/>
    <cellStyle name="20% - Accent5 25" xfId="123"/>
    <cellStyle name="20% - Accent5 3" xfId="124"/>
    <cellStyle name="20% - Accent5 3 2" xfId="125"/>
    <cellStyle name="20% - Accent5 3 3" xfId="126"/>
    <cellStyle name="20% - Accent5 4" xfId="127"/>
    <cellStyle name="20% - Accent5 4 2" xfId="128"/>
    <cellStyle name="20% - Accent5 4 3" xfId="129"/>
    <cellStyle name="20% - Accent5 5" xfId="130"/>
    <cellStyle name="20% - Accent5 5 2" xfId="131"/>
    <cellStyle name="20% - Accent5 5 3" xfId="132"/>
    <cellStyle name="20% - Accent5 6" xfId="133"/>
    <cellStyle name="20% - Accent5 6 2" xfId="134"/>
    <cellStyle name="20% - Accent5 6 3" xfId="135"/>
    <cellStyle name="20% - Accent5 7" xfId="136"/>
    <cellStyle name="20% - Accent5 7 2" xfId="137"/>
    <cellStyle name="20% - Accent5 8" xfId="138"/>
    <cellStyle name="20% - Accent5 9" xfId="139"/>
    <cellStyle name="20% - Accent6 10" xfId="140"/>
    <cellStyle name="20% - Accent6 11" xfId="141"/>
    <cellStyle name="20% - Accent6 12" xfId="142"/>
    <cellStyle name="20% - Accent6 13" xfId="143"/>
    <cellStyle name="20% - Accent6 14" xfId="144"/>
    <cellStyle name="20% - Accent6 15" xfId="145"/>
    <cellStyle name="20% - Accent6 16" xfId="146"/>
    <cellStyle name="20% - Accent6 17" xfId="147"/>
    <cellStyle name="20% - Accent6 18" xfId="148"/>
    <cellStyle name="20% - Accent6 19" xfId="149"/>
    <cellStyle name="20% - Accent6 2" xfId="150"/>
    <cellStyle name="20% - Accent6 2 2" xfId="151"/>
    <cellStyle name="20% - Accent6 2 3" xfId="152"/>
    <cellStyle name="20% - Accent6 2 4" xfId="153"/>
    <cellStyle name="20% - Accent6 20" xfId="154"/>
    <cellStyle name="20% - Accent6 21" xfId="155"/>
    <cellStyle name="20% - Accent6 22" xfId="156"/>
    <cellStyle name="20% - Accent6 23" xfId="157"/>
    <cellStyle name="20% - Accent6 24" xfId="158"/>
    <cellStyle name="20% - Accent6 25" xfId="159"/>
    <cellStyle name="20% - Accent6 3" xfId="160"/>
    <cellStyle name="20% - Accent6 3 2" xfId="161"/>
    <cellStyle name="20% - Accent6 3 3" xfId="162"/>
    <cellStyle name="20% - Accent6 4" xfId="163"/>
    <cellStyle name="20% - Accent6 4 2" xfId="164"/>
    <cellStyle name="20% - Accent6 4 3" xfId="165"/>
    <cellStyle name="20% - Accent6 5" xfId="166"/>
    <cellStyle name="20% - Accent6 5 2" xfId="167"/>
    <cellStyle name="20% - Accent6 5 3" xfId="168"/>
    <cellStyle name="20% - Accent6 6" xfId="169"/>
    <cellStyle name="20% - Accent6 6 2" xfId="170"/>
    <cellStyle name="20% - Accent6 6 3" xfId="171"/>
    <cellStyle name="20% - Accent6 7" xfId="172"/>
    <cellStyle name="20% - Accent6 7 2" xfId="173"/>
    <cellStyle name="20% - Accent6 8" xfId="174"/>
    <cellStyle name="20% - Accent6 9" xfId="175"/>
    <cellStyle name="20% - Izcēlums1 2" xfId="176"/>
    <cellStyle name="20% - Izcēlums2 2" xfId="177"/>
    <cellStyle name="20% - Izcēlums3 2" xfId="178"/>
    <cellStyle name="20% - Izcēlums4 2" xfId="179"/>
    <cellStyle name="20% - Izcēlums5 2" xfId="180"/>
    <cellStyle name="20% - Izcēlums6 2" xfId="181"/>
    <cellStyle name="20% – rõhk1" xfId="182"/>
    <cellStyle name="20% – rõhk2" xfId="183"/>
    <cellStyle name="20% – rõhk3" xfId="184"/>
    <cellStyle name="20% – rõhk4" xfId="185"/>
    <cellStyle name="20% – rõhk5" xfId="186"/>
    <cellStyle name="20% – rõhk6" xfId="187"/>
    <cellStyle name="20% no 1. izcēluma 2" xfId="188"/>
    <cellStyle name="20% no 2. izcēluma 2" xfId="189"/>
    <cellStyle name="20% no 3. izcēluma 2" xfId="190"/>
    <cellStyle name="20% no 4. izcēluma 2" xfId="191"/>
    <cellStyle name="20% no 5. izcēluma 2" xfId="192"/>
    <cellStyle name="20% no 6. izcēluma 2" xfId="193"/>
    <cellStyle name="3. izcēlums " xfId="1164" hidden="1"/>
    <cellStyle name="3. izcēlums  2" xfId="194"/>
    <cellStyle name="4. izcēlums" xfId="1165" hidden="1"/>
    <cellStyle name="4. izcēlums 2" xfId="195"/>
    <cellStyle name="40% - Accent1 10" xfId="196"/>
    <cellStyle name="40% - Accent1 2" xfId="197"/>
    <cellStyle name="40% - Accent1 2 2" xfId="198"/>
    <cellStyle name="40% - Accent1 2 3" xfId="199"/>
    <cellStyle name="40% - Accent1 2 4" xfId="200"/>
    <cellStyle name="40% - Accent1 2 5" xfId="201"/>
    <cellStyle name="40% - Accent1 3" xfId="202"/>
    <cellStyle name="40% - Accent1 4" xfId="203"/>
    <cellStyle name="40% - Accent1 5" xfId="204"/>
    <cellStyle name="40% - Accent1 6" xfId="205"/>
    <cellStyle name="40% - Accent1 7" xfId="206"/>
    <cellStyle name="40% - Accent1 8" xfId="207"/>
    <cellStyle name="40% - Accent1 9" xfId="208"/>
    <cellStyle name="40% - Accent2 10" xfId="209"/>
    <cellStyle name="40% - Accent2 2" xfId="210"/>
    <cellStyle name="40% - Accent2 2 2" xfId="211"/>
    <cellStyle name="40% - Accent2 2 3" xfId="212"/>
    <cellStyle name="40% - Accent2 2 4" xfId="213"/>
    <cellStyle name="40% - Accent2 2 5" xfId="214"/>
    <cellStyle name="40% - Accent2 3" xfId="215"/>
    <cellStyle name="40% - Accent2 4" xfId="216"/>
    <cellStyle name="40% - Accent2 5" xfId="217"/>
    <cellStyle name="40% - Accent2 6" xfId="218"/>
    <cellStyle name="40% - Accent2 7" xfId="219"/>
    <cellStyle name="40% - Accent2 8" xfId="220"/>
    <cellStyle name="40% - Accent2 9" xfId="221"/>
    <cellStyle name="40% - Accent3 10" xfId="222"/>
    <cellStyle name="40% - Accent3 11" xfId="223"/>
    <cellStyle name="40% - Accent3 12" xfId="224"/>
    <cellStyle name="40% - Accent3 13" xfId="225"/>
    <cellStyle name="40% - Accent3 14" xfId="226"/>
    <cellStyle name="40% - Accent3 15" xfId="227"/>
    <cellStyle name="40% - Accent3 16" xfId="228"/>
    <cellStyle name="40% - Accent3 17" xfId="229"/>
    <cellStyle name="40% - Accent3 18" xfId="230"/>
    <cellStyle name="40% - Accent3 19" xfId="231"/>
    <cellStyle name="40% - Accent3 2" xfId="232"/>
    <cellStyle name="40% - Accent3 2 2" xfId="233"/>
    <cellStyle name="40% - Accent3 2 3" xfId="234"/>
    <cellStyle name="40% - Accent3 2 4" xfId="235"/>
    <cellStyle name="40% - Accent3 20" xfId="236"/>
    <cellStyle name="40% - Accent3 21" xfId="237"/>
    <cellStyle name="40% - Accent3 22" xfId="238"/>
    <cellStyle name="40% - Accent3 23" xfId="239"/>
    <cellStyle name="40% - Accent3 24" xfId="240"/>
    <cellStyle name="40% - Accent3 25" xfId="241"/>
    <cellStyle name="40% - Accent3 3" xfId="242"/>
    <cellStyle name="40% - Accent3 3 2" xfId="243"/>
    <cellStyle name="40% - Accent3 3 3" xfId="244"/>
    <cellStyle name="40% - Accent3 4" xfId="245"/>
    <cellStyle name="40% - Accent3 4 2" xfId="246"/>
    <cellStyle name="40% - Accent3 4 3" xfId="247"/>
    <cellStyle name="40% - Accent3 5" xfId="248"/>
    <cellStyle name="40% - Accent3 5 2" xfId="249"/>
    <cellStyle name="40% - Accent3 5 3" xfId="250"/>
    <cellStyle name="40% - Accent3 6" xfId="251"/>
    <cellStyle name="40% - Accent3 6 2" xfId="252"/>
    <cellStyle name="40% - Accent3 6 3" xfId="253"/>
    <cellStyle name="40% - Accent3 7" xfId="254"/>
    <cellStyle name="40% - Accent3 7 2" xfId="255"/>
    <cellStyle name="40% - Accent3 8" xfId="256"/>
    <cellStyle name="40% - Accent3 9" xfId="257"/>
    <cellStyle name="40% - Accent4 10" xfId="258"/>
    <cellStyle name="40% - Accent4 11" xfId="259"/>
    <cellStyle name="40% - Accent4 12" xfId="260"/>
    <cellStyle name="40% - Accent4 13" xfId="261"/>
    <cellStyle name="40% - Accent4 14" xfId="262"/>
    <cellStyle name="40% - Accent4 15" xfId="263"/>
    <cellStyle name="40% - Accent4 16" xfId="264"/>
    <cellStyle name="40% - Accent4 17" xfId="265"/>
    <cellStyle name="40% - Accent4 18" xfId="266"/>
    <cellStyle name="40% - Accent4 19" xfId="267"/>
    <cellStyle name="40% - Accent4 2" xfId="268"/>
    <cellStyle name="40% - Accent4 2 2" xfId="269"/>
    <cellStyle name="40% - Accent4 2 3" xfId="270"/>
    <cellStyle name="40% - Accent4 2 4" xfId="271"/>
    <cellStyle name="40% - Accent4 2 5" xfId="272"/>
    <cellStyle name="40% - Accent4 20" xfId="273"/>
    <cellStyle name="40% - Accent4 21" xfId="274"/>
    <cellStyle name="40% - Accent4 22" xfId="275"/>
    <cellStyle name="40% - Accent4 23" xfId="276"/>
    <cellStyle name="40% - Accent4 24" xfId="277"/>
    <cellStyle name="40% - Accent4 25" xfId="278"/>
    <cellStyle name="40% - Accent4 3" xfId="279"/>
    <cellStyle name="40% - Accent4 3 2" xfId="280"/>
    <cellStyle name="40% - Accent4 3 3" xfId="281"/>
    <cellStyle name="40% - Accent4 4" xfId="282"/>
    <cellStyle name="40% - Accent4 4 2" xfId="283"/>
    <cellStyle name="40% - Accent4 4 3" xfId="284"/>
    <cellStyle name="40% - Accent4 5" xfId="285"/>
    <cellStyle name="40% - Accent4 5 2" xfId="286"/>
    <cellStyle name="40% - Accent4 5 3" xfId="287"/>
    <cellStyle name="40% - Accent4 6" xfId="288"/>
    <cellStyle name="40% - Accent4 6 2" xfId="289"/>
    <cellStyle name="40% - Accent4 6 3" xfId="290"/>
    <cellStyle name="40% - Accent4 7" xfId="291"/>
    <cellStyle name="40% - Accent4 7 2" xfId="292"/>
    <cellStyle name="40% - Accent4 8" xfId="293"/>
    <cellStyle name="40% - Accent4 9" xfId="294"/>
    <cellStyle name="40% - Accent5 10" xfId="295"/>
    <cellStyle name="40% - Accent5 2" xfId="296"/>
    <cellStyle name="40% - Accent5 2 2" xfId="297"/>
    <cellStyle name="40% - Accent5 2 3" xfId="298"/>
    <cellStyle name="40% - Accent5 2 4" xfId="299"/>
    <cellStyle name="40% - Accent5 2 5" xfId="300"/>
    <cellStyle name="40% - Accent5 3" xfId="301"/>
    <cellStyle name="40% - Accent5 4" xfId="302"/>
    <cellStyle name="40% - Accent5 5" xfId="303"/>
    <cellStyle name="40% - Accent5 6" xfId="304"/>
    <cellStyle name="40% - Accent5 7" xfId="305"/>
    <cellStyle name="40% - Accent5 8" xfId="306"/>
    <cellStyle name="40% - Accent5 9" xfId="307"/>
    <cellStyle name="40% - Accent6 10" xfId="308"/>
    <cellStyle name="40% - Accent6 2" xfId="309"/>
    <cellStyle name="40% - Accent6 2 2" xfId="310"/>
    <cellStyle name="40% - Accent6 2 3" xfId="311"/>
    <cellStyle name="40% - Accent6 2 4" xfId="312"/>
    <cellStyle name="40% - Accent6 2 5" xfId="313"/>
    <cellStyle name="40% - Accent6 3" xfId="314"/>
    <cellStyle name="40% - Accent6 4" xfId="315"/>
    <cellStyle name="40% - Accent6 5" xfId="316"/>
    <cellStyle name="40% - Accent6 6" xfId="317"/>
    <cellStyle name="40% - Accent6 7" xfId="318"/>
    <cellStyle name="40% - Accent6 8" xfId="319"/>
    <cellStyle name="40% - Accent6 9" xfId="320"/>
    <cellStyle name="40% - Izcēlums1 2" xfId="321"/>
    <cellStyle name="40% - Izcēlums2 2" xfId="322"/>
    <cellStyle name="40% - Izcēlums3 2" xfId="323"/>
    <cellStyle name="40% - Izcēlums4 2" xfId="324"/>
    <cellStyle name="40% - Izcēlums5 2" xfId="325"/>
    <cellStyle name="40% - Izcēlums6 2" xfId="326"/>
    <cellStyle name="40% – rõhk1" xfId="327"/>
    <cellStyle name="40% – rõhk2" xfId="328"/>
    <cellStyle name="40% – rõhk3" xfId="329"/>
    <cellStyle name="40% – rõhk4" xfId="330"/>
    <cellStyle name="40% – rõhk5" xfId="331"/>
    <cellStyle name="40% – rõhk6" xfId="332"/>
    <cellStyle name="40% no 1. izcēluma 2" xfId="333"/>
    <cellStyle name="40% no 2. izcēluma 2" xfId="334"/>
    <cellStyle name="40% no 3. izcēluma 2" xfId="335"/>
    <cellStyle name="40% no 4. izcēluma 2" xfId="336"/>
    <cellStyle name="40% no 5. izcēluma 2" xfId="337"/>
    <cellStyle name="40% no 6. izcēluma 2" xfId="338"/>
    <cellStyle name="5. izcēlums" xfId="1166" hidden="1"/>
    <cellStyle name="5. izcēlums 2" xfId="339"/>
    <cellStyle name="6. izcēlums" xfId="1167" hidden="1"/>
    <cellStyle name="6. izcēlums 2" xfId="340"/>
    <cellStyle name="60% - Accent1 10" xfId="341"/>
    <cellStyle name="60% - Accent1 2" xfId="342"/>
    <cellStyle name="60% - Accent1 2 2" xfId="343"/>
    <cellStyle name="60% - Accent1 2 3" xfId="344"/>
    <cellStyle name="60% - Accent1 2 4" xfId="345"/>
    <cellStyle name="60% - Accent1 2 5" xfId="346"/>
    <cellStyle name="60% - Accent1 3" xfId="347"/>
    <cellStyle name="60% - Accent1 4" xfId="348"/>
    <cellStyle name="60% - Accent1 5" xfId="349"/>
    <cellStyle name="60% - Accent1 6" xfId="350"/>
    <cellStyle name="60% - Accent1 7" xfId="351"/>
    <cellStyle name="60% - Accent1 8" xfId="352"/>
    <cellStyle name="60% - Accent1 9" xfId="353"/>
    <cellStyle name="60% - Accent2 10" xfId="354"/>
    <cellStyle name="60% - Accent2 2" xfId="355"/>
    <cellStyle name="60% - Accent2 2 2" xfId="356"/>
    <cellStyle name="60% - Accent2 2 3" xfId="357"/>
    <cellStyle name="60% - Accent2 2 4" xfId="358"/>
    <cellStyle name="60% - Accent2 2 5" xfId="359"/>
    <cellStyle name="60% - Accent2 3" xfId="360"/>
    <cellStyle name="60% - Accent2 4" xfId="361"/>
    <cellStyle name="60% - Accent2 5" xfId="362"/>
    <cellStyle name="60% - Accent2 6" xfId="363"/>
    <cellStyle name="60% - Accent2 7" xfId="364"/>
    <cellStyle name="60% - Accent2 8" xfId="365"/>
    <cellStyle name="60% - Accent2 9" xfId="366"/>
    <cellStyle name="60% - Accent3 10" xfId="367"/>
    <cellStyle name="60% - Accent3 11" xfId="368"/>
    <cellStyle name="60% - Accent3 12" xfId="369"/>
    <cellStyle name="60% - Accent3 13" xfId="370"/>
    <cellStyle name="60% - Accent3 14" xfId="371"/>
    <cellStyle name="60% - Accent3 15" xfId="372"/>
    <cellStyle name="60% - Accent3 16" xfId="373"/>
    <cellStyle name="60% - Accent3 17" xfId="374"/>
    <cellStyle name="60% - Accent3 18" xfId="375"/>
    <cellStyle name="60% - Accent3 19" xfId="376"/>
    <cellStyle name="60% - Accent3 2" xfId="377"/>
    <cellStyle name="60% - Accent3 2 2" xfId="378"/>
    <cellStyle name="60% - Accent3 2 3" xfId="379"/>
    <cellStyle name="60% - Accent3 2 4" xfId="380"/>
    <cellStyle name="60% - Accent3 20" xfId="381"/>
    <cellStyle name="60% - Accent3 21" xfId="382"/>
    <cellStyle name="60% - Accent3 22" xfId="383"/>
    <cellStyle name="60% - Accent3 23" xfId="384"/>
    <cellStyle name="60% - Accent3 24" xfId="385"/>
    <cellStyle name="60% - Accent3 25" xfId="386"/>
    <cellStyle name="60% - Accent3 3" xfId="387"/>
    <cellStyle name="60% - Accent3 3 2" xfId="388"/>
    <cellStyle name="60% - Accent3 3 3" xfId="389"/>
    <cellStyle name="60% - Accent3 4" xfId="390"/>
    <cellStyle name="60% - Accent3 4 2" xfId="391"/>
    <cellStyle name="60% - Accent3 4 3" xfId="392"/>
    <cellStyle name="60% - Accent3 5" xfId="393"/>
    <cellStyle name="60% - Accent3 5 2" xfId="394"/>
    <cellStyle name="60% - Accent3 5 3" xfId="395"/>
    <cellStyle name="60% - Accent3 6" xfId="396"/>
    <cellStyle name="60% - Accent3 6 2" xfId="397"/>
    <cellStyle name="60% - Accent3 6 3" xfId="398"/>
    <cellStyle name="60% - Accent3 7" xfId="399"/>
    <cellStyle name="60% - Accent3 7 2" xfId="400"/>
    <cellStyle name="60% - Accent3 8" xfId="401"/>
    <cellStyle name="60% - Accent3 9" xfId="402"/>
    <cellStyle name="60% - Accent4 10" xfId="403"/>
    <cellStyle name="60% - Accent4 2" xfId="404"/>
    <cellStyle name="60% - Accent4 2 2" xfId="405"/>
    <cellStyle name="60% - Accent4 2 3" xfId="406"/>
    <cellStyle name="60% - Accent4 2 4" xfId="407"/>
    <cellStyle name="60% - Accent4 2 5" xfId="408"/>
    <cellStyle name="60% - Accent4 3" xfId="409"/>
    <cellStyle name="60% - Accent4 4" xfId="410"/>
    <cellStyle name="60% - Accent4 5" xfId="411"/>
    <cellStyle name="60% - Accent4 6" xfId="412"/>
    <cellStyle name="60% - Accent4 7" xfId="413"/>
    <cellStyle name="60% - Accent4 8" xfId="414"/>
    <cellStyle name="60% - Accent4 9" xfId="415"/>
    <cellStyle name="60% - Accent5 10" xfId="416"/>
    <cellStyle name="60% - Accent5 2" xfId="417"/>
    <cellStyle name="60% - Accent5 2 2" xfId="418"/>
    <cellStyle name="60% - Accent5 2 3" xfId="419"/>
    <cellStyle name="60% - Accent5 2 4" xfId="420"/>
    <cellStyle name="60% - Accent5 2 5" xfId="421"/>
    <cellStyle name="60% - Accent5 3" xfId="422"/>
    <cellStyle name="60% - Accent5 4" xfId="423"/>
    <cellStyle name="60% - Accent5 5" xfId="424"/>
    <cellStyle name="60% - Accent5 6" xfId="425"/>
    <cellStyle name="60% - Accent5 7" xfId="426"/>
    <cellStyle name="60% - Accent5 8" xfId="427"/>
    <cellStyle name="60% - Accent5 9" xfId="428"/>
    <cellStyle name="60% - Accent6 10" xfId="429"/>
    <cellStyle name="60% - Accent6 2" xfId="430"/>
    <cellStyle name="60% - Accent6 2 2" xfId="431"/>
    <cellStyle name="60% - Accent6 2 3" xfId="432"/>
    <cellStyle name="60% - Accent6 2 4" xfId="433"/>
    <cellStyle name="60% - Accent6 2 5" xfId="434"/>
    <cellStyle name="60% - Accent6 3" xfId="435"/>
    <cellStyle name="60% - Accent6 4" xfId="436"/>
    <cellStyle name="60% - Accent6 5" xfId="437"/>
    <cellStyle name="60% - Accent6 6" xfId="438"/>
    <cellStyle name="60% - Accent6 7" xfId="439"/>
    <cellStyle name="60% - Accent6 8" xfId="440"/>
    <cellStyle name="60% - Accent6 9" xfId="441"/>
    <cellStyle name="60% - Izcēlums1 2" xfId="442"/>
    <cellStyle name="60% - Izcēlums2 2" xfId="443"/>
    <cellStyle name="60% - Izcēlums3 2" xfId="444"/>
    <cellStyle name="60% - Izcēlums4 2" xfId="445"/>
    <cellStyle name="60% - Izcēlums5 2" xfId="446"/>
    <cellStyle name="60% - Izcēlums6 2" xfId="447"/>
    <cellStyle name="60% – rõhk1" xfId="448"/>
    <cellStyle name="60% – rõhk2" xfId="449"/>
    <cellStyle name="60% – rõhk3" xfId="450"/>
    <cellStyle name="60% – rõhk4" xfId="451"/>
    <cellStyle name="60% – rõhk5" xfId="452"/>
    <cellStyle name="60% – rõhk6" xfId="453"/>
    <cellStyle name="60% no 1. izcēluma 2" xfId="454"/>
    <cellStyle name="60% no 2. izcēluma 2" xfId="455"/>
    <cellStyle name="60% no 3. izcēluma 2" xfId="456"/>
    <cellStyle name="60% no 4. izcēluma 2" xfId="457"/>
    <cellStyle name="60% no 5. izcēluma 2" xfId="458"/>
    <cellStyle name="60% no 6. izcēluma 2" xfId="459"/>
    <cellStyle name="Accent1 10" xfId="460"/>
    <cellStyle name="Accent1 2" xfId="461"/>
    <cellStyle name="Accent1 2 2" xfId="462"/>
    <cellStyle name="Accent1 2 3" xfId="463"/>
    <cellStyle name="Accent1 2 4" xfId="464"/>
    <cellStyle name="Accent1 2 5" xfId="465"/>
    <cellStyle name="Accent1 3" xfId="466"/>
    <cellStyle name="Accent1 4" xfId="467"/>
    <cellStyle name="Accent1 5" xfId="468"/>
    <cellStyle name="Accent1 6" xfId="469"/>
    <cellStyle name="Accent1 7" xfId="470"/>
    <cellStyle name="Accent1 8" xfId="471"/>
    <cellStyle name="Accent1 9" xfId="472"/>
    <cellStyle name="Accent2 10" xfId="473"/>
    <cellStyle name="Accent2 2" xfId="474"/>
    <cellStyle name="Accent2 2 2" xfId="475"/>
    <cellStyle name="Accent2 2 3" xfId="476"/>
    <cellStyle name="Accent2 2 4" xfId="477"/>
    <cellStyle name="Accent2 2 5" xfId="478"/>
    <cellStyle name="Accent2 3" xfId="479"/>
    <cellStyle name="Accent2 4" xfId="480"/>
    <cellStyle name="Accent2 5" xfId="481"/>
    <cellStyle name="Accent2 6" xfId="482"/>
    <cellStyle name="Accent2 7" xfId="483"/>
    <cellStyle name="Accent2 8" xfId="484"/>
    <cellStyle name="Accent2 9" xfId="485"/>
    <cellStyle name="Accent3 10" xfId="486"/>
    <cellStyle name="Accent3 2" xfId="487"/>
    <cellStyle name="Accent3 2 2" xfId="488"/>
    <cellStyle name="Accent3 2 3" xfId="489"/>
    <cellStyle name="Accent3 2 4" xfId="490"/>
    <cellStyle name="Accent3 2 5" xfId="491"/>
    <cellStyle name="Accent3 3" xfId="492"/>
    <cellStyle name="Accent3 4" xfId="493"/>
    <cellStyle name="Accent3 5" xfId="494"/>
    <cellStyle name="Accent3 6" xfId="495"/>
    <cellStyle name="Accent3 7" xfId="496"/>
    <cellStyle name="Accent3 8" xfId="497"/>
    <cellStyle name="Accent3 9" xfId="498"/>
    <cellStyle name="Accent4 10" xfId="499"/>
    <cellStyle name="Accent4 2" xfId="500"/>
    <cellStyle name="Accent4 2 2" xfId="501"/>
    <cellStyle name="Accent4 2 3" xfId="502"/>
    <cellStyle name="Accent4 2 4" xfId="503"/>
    <cellStyle name="Accent4 2 5" xfId="504"/>
    <cellStyle name="Accent4 3" xfId="505"/>
    <cellStyle name="Accent4 4" xfId="506"/>
    <cellStyle name="Accent4 5" xfId="507"/>
    <cellStyle name="Accent4 6" xfId="508"/>
    <cellStyle name="Accent4 7" xfId="509"/>
    <cellStyle name="Accent4 8" xfId="510"/>
    <cellStyle name="Accent4 9" xfId="511"/>
    <cellStyle name="Accent5 10" xfId="512"/>
    <cellStyle name="Accent5 2" xfId="513"/>
    <cellStyle name="Accent5 2 2" xfId="514"/>
    <cellStyle name="Accent5 2 3" xfId="515"/>
    <cellStyle name="Accent5 2 4" xfId="516"/>
    <cellStyle name="Accent5 2 5" xfId="517"/>
    <cellStyle name="Accent5 3" xfId="518"/>
    <cellStyle name="Accent5 4" xfId="519"/>
    <cellStyle name="Accent5 5" xfId="520"/>
    <cellStyle name="Accent5 6" xfId="521"/>
    <cellStyle name="Accent5 7" xfId="522"/>
    <cellStyle name="Accent5 8" xfId="523"/>
    <cellStyle name="Accent5 9" xfId="524"/>
    <cellStyle name="Accent6 10" xfId="525"/>
    <cellStyle name="Accent6 2" xfId="526"/>
    <cellStyle name="Accent6 2 2" xfId="527"/>
    <cellStyle name="Accent6 2 3" xfId="528"/>
    <cellStyle name="Accent6 2 4" xfId="529"/>
    <cellStyle name="Accent6 2 5" xfId="530"/>
    <cellStyle name="Accent6 3" xfId="531"/>
    <cellStyle name="Accent6 4" xfId="532"/>
    <cellStyle name="Accent6 5" xfId="533"/>
    <cellStyle name="Accent6 6" xfId="534"/>
    <cellStyle name="Accent6 7" xfId="535"/>
    <cellStyle name="Accent6 8" xfId="536"/>
    <cellStyle name="Accent6 9" xfId="537"/>
    <cellStyle name="Aprēķināšana" xfId="538"/>
    <cellStyle name="Aprēķināšana 2" xfId="539"/>
    <cellStyle name="Arvutus" xfId="540"/>
    <cellStyle name="Atdalītāji" xfId="605" builtinId="3"/>
    <cellStyle name="Bad 10" xfId="541"/>
    <cellStyle name="Bad 2" xfId="542"/>
    <cellStyle name="Bad 2 2" xfId="543"/>
    <cellStyle name="Bad 2 3" xfId="544"/>
    <cellStyle name="Bad 2 4" xfId="545"/>
    <cellStyle name="Bad 2 5" xfId="546"/>
    <cellStyle name="Bad 3" xfId="547"/>
    <cellStyle name="Bad 4" xfId="548"/>
    <cellStyle name="Bad 5" xfId="549"/>
    <cellStyle name="Bad 6" xfId="550"/>
    <cellStyle name="Bad 7" xfId="551"/>
    <cellStyle name="Bad 8" xfId="552"/>
    <cellStyle name="Bad 9" xfId="553"/>
    <cellStyle name="Brīdinājuma teksts" xfId="554"/>
    <cellStyle name="Brīdinājuma teksts 2" xfId="555"/>
    <cellStyle name="Calculation 10" xfId="556"/>
    <cellStyle name="Calculation 11" xfId="557"/>
    <cellStyle name="Calculation 12" xfId="558"/>
    <cellStyle name="Calculation 13" xfId="559"/>
    <cellStyle name="Calculation 14" xfId="560"/>
    <cellStyle name="Calculation 15" xfId="561"/>
    <cellStyle name="Calculation 16" xfId="562"/>
    <cellStyle name="Calculation 17" xfId="563"/>
    <cellStyle name="Calculation 18" xfId="564"/>
    <cellStyle name="Calculation 19" xfId="565"/>
    <cellStyle name="Calculation 2" xfId="566"/>
    <cellStyle name="Calculation 2 2" xfId="567"/>
    <cellStyle name="Calculation 2 3" xfId="568"/>
    <cellStyle name="Calculation 2 4" xfId="569"/>
    <cellStyle name="Calculation 20" xfId="570"/>
    <cellStyle name="Calculation 21" xfId="571"/>
    <cellStyle name="Calculation 22" xfId="572"/>
    <cellStyle name="Calculation 23" xfId="573"/>
    <cellStyle name="Calculation 24" xfId="574"/>
    <cellStyle name="Calculation 25" xfId="575"/>
    <cellStyle name="Calculation 3" xfId="576"/>
    <cellStyle name="Calculation 3 2" xfId="577"/>
    <cellStyle name="Calculation 3 3" xfId="578"/>
    <cellStyle name="Calculation 4" xfId="579"/>
    <cellStyle name="Calculation 4 2" xfId="580"/>
    <cellStyle name="Calculation 4 3" xfId="581"/>
    <cellStyle name="Calculation 5" xfId="582"/>
    <cellStyle name="Calculation 5 2" xfId="583"/>
    <cellStyle name="Calculation 5 3" xfId="584"/>
    <cellStyle name="Calculation 6" xfId="585"/>
    <cellStyle name="Calculation 6 2" xfId="586"/>
    <cellStyle name="Calculation 6 3" xfId="587"/>
    <cellStyle name="Calculation 7" xfId="588"/>
    <cellStyle name="Calculation 7 2" xfId="589"/>
    <cellStyle name="Calculation 8" xfId="590"/>
    <cellStyle name="Calculation 9" xfId="591"/>
    <cellStyle name="Check Cell 10" xfId="592"/>
    <cellStyle name="Check Cell 2" xfId="593"/>
    <cellStyle name="Check Cell 2 2" xfId="594"/>
    <cellStyle name="Check Cell 2 3" xfId="595"/>
    <cellStyle name="Check Cell 2 4" xfId="596"/>
    <cellStyle name="Check Cell 2 5" xfId="597"/>
    <cellStyle name="Check Cell 3" xfId="598"/>
    <cellStyle name="Check Cell 4" xfId="599"/>
    <cellStyle name="Check Cell 5" xfId="600"/>
    <cellStyle name="Check Cell 6" xfId="601"/>
    <cellStyle name="Check Cell 7" xfId="602"/>
    <cellStyle name="Check Cell 8" xfId="603"/>
    <cellStyle name="Check Cell 9" xfId="604"/>
    <cellStyle name="Comma 10" xfId="606"/>
    <cellStyle name="Comma 10 2" xfId="607"/>
    <cellStyle name="Comma 11" xfId="608"/>
    <cellStyle name="Comma 11 2" xfId="609"/>
    <cellStyle name="Comma 12" xfId="610"/>
    <cellStyle name="Comma 12 2" xfId="611"/>
    <cellStyle name="Comma 13" xfId="612"/>
    <cellStyle name="Comma 13 2" xfId="613"/>
    <cellStyle name="Comma 14" xfId="614"/>
    <cellStyle name="Comma 14 2" xfId="615"/>
    <cellStyle name="Comma 15" xfId="616"/>
    <cellStyle name="Comma 15 2" xfId="617"/>
    <cellStyle name="Comma 16" xfId="618"/>
    <cellStyle name="Comma 16 2" xfId="619"/>
    <cellStyle name="Comma 17" xfId="620"/>
    <cellStyle name="Comma 17 2" xfId="621"/>
    <cellStyle name="Comma 18" xfId="622"/>
    <cellStyle name="Comma 18 2" xfId="623"/>
    <cellStyle name="Comma 19" xfId="624"/>
    <cellStyle name="Comma 19 2" xfId="625"/>
    <cellStyle name="Comma 2" xfId="626"/>
    <cellStyle name="Comma 2 2" xfId="627"/>
    <cellStyle name="Comma 2 2 2" xfId="628"/>
    <cellStyle name="Comma 2 2 3" xfId="629"/>
    <cellStyle name="Comma 2 3" xfId="630"/>
    <cellStyle name="Comma 2 3 2" xfId="631"/>
    <cellStyle name="Comma 2 4" xfId="632"/>
    <cellStyle name="Comma 2 5" xfId="633"/>
    <cellStyle name="Comma 2 6" xfId="634"/>
    <cellStyle name="Comma 2_BA" xfId="635"/>
    <cellStyle name="Comma 20" xfId="636"/>
    <cellStyle name="Comma 21" xfId="637"/>
    <cellStyle name="Comma 22" xfId="638"/>
    <cellStyle name="Comma 22 2" xfId="639"/>
    <cellStyle name="Comma 23" xfId="640"/>
    <cellStyle name="Comma 24" xfId="641"/>
    <cellStyle name="Comma 25" xfId="642"/>
    <cellStyle name="Comma 26" xfId="643"/>
    <cellStyle name="Comma 27" xfId="644"/>
    <cellStyle name="Comma 28" xfId="645"/>
    <cellStyle name="Comma 29" xfId="646"/>
    <cellStyle name="Comma 3" xfId="647"/>
    <cellStyle name="Comma 3 2" xfId="648"/>
    <cellStyle name="Comma 3 2 2" xfId="649"/>
    <cellStyle name="Comma 3 3" xfId="650"/>
    <cellStyle name="Comma 30" xfId="651"/>
    <cellStyle name="Comma 31" xfId="652"/>
    <cellStyle name="Comma 32" xfId="653"/>
    <cellStyle name="Comma 33" xfId="654"/>
    <cellStyle name="Comma 34" xfId="655"/>
    <cellStyle name="Comma 35" xfId="656"/>
    <cellStyle name="Comma 36" xfId="657"/>
    <cellStyle name="Comma 37" xfId="658"/>
    <cellStyle name="Comma 38" xfId="659"/>
    <cellStyle name="Comma 39" xfId="660"/>
    <cellStyle name="Comma 4" xfId="661"/>
    <cellStyle name="Comma 4 2" xfId="662"/>
    <cellStyle name="Comma 4 3" xfId="663"/>
    <cellStyle name="Comma 4 4" xfId="664"/>
    <cellStyle name="Comma 4 5" xfId="665"/>
    <cellStyle name="Comma 4 6" xfId="666"/>
    <cellStyle name="Comma 40" xfId="667"/>
    <cellStyle name="Comma 41" xfId="668"/>
    <cellStyle name="Comma 42" xfId="669"/>
    <cellStyle name="Comma 43" xfId="670"/>
    <cellStyle name="Comma 44" xfId="671"/>
    <cellStyle name="Comma 45" xfId="672"/>
    <cellStyle name="Comma 46" xfId="673"/>
    <cellStyle name="Comma 47" xfId="674"/>
    <cellStyle name="Comma 48" xfId="675"/>
    <cellStyle name="Comma 49" xfId="676"/>
    <cellStyle name="Comma 5" xfId="677"/>
    <cellStyle name="Comma 5 2" xfId="678"/>
    <cellStyle name="Comma 5 3" xfId="679"/>
    <cellStyle name="Comma 5 4" xfId="680"/>
    <cellStyle name="Comma 5 5" xfId="681"/>
    <cellStyle name="Comma 50" xfId="682"/>
    <cellStyle name="Comma 51" xfId="683"/>
    <cellStyle name="Comma 52" xfId="684"/>
    <cellStyle name="Comma 53" xfId="685"/>
    <cellStyle name="Comma 54" xfId="686"/>
    <cellStyle name="Comma 55" xfId="687"/>
    <cellStyle name="Comma 6" xfId="688"/>
    <cellStyle name="Comma 6 2" xfId="689"/>
    <cellStyle name="Comma 6 3" xfId="690"/>
    <cellStyle name="Comma 6 4" xfId="691"/>
    <cellStyle name="Comma 6 5" xfId="692"/>
    <cellStyle name="Comma 7" xfId="693"/>
    <cellStyle name="Comma 7 2" xfId="694"/>
    <cellStyle name="Comma 7 3" xfId="695"/>
    <cellStyle name="Comma 7 4" xfId="696"/>
    <cellStyle name="Comma 7 5" xfId="697"/>
    <cellStyle name="Comma 8" xfId="698"/>
    <cellStyle name="Comma 8 2" xfId="699"/>
    <cellStyle name="Comma 8 3" xfId="700"/>
    <cellStyle name="Comma 8 4" xfId="701"/>
    <cellStyle name="Comma 8 5" xfId="702"/>
    <cellStyle name="Comma 9" xfId="703"/>
    <cellStyle name="Comma 9 2" xfId="704"/>
    <cellStyle name="Excel Built-in Normal" xfId="705"/>
    <cellStyle name="Excel Built-in Normal 2" xfId="706"/>
    <cellStyle name="Excel Built-in Normal 3" xfId="707"/>
    <cellStyle name="Excel Built-in Normal_1" xfId="708"/>
    <cellStyle name="Explanatory Text 2" xfId="709"/>
    <cellStyle name="Explanatory Text 2 2" xfId="710"/>
    <cellStyle name="Explanatory Text 2 3" xfId="711"/>
    <cellStyle name="Explanatory Text 2 4" xfId="712"/>
    <cellStyle name="Explanatory Text 3" xfId="713"/>
    <cellStyle name="Explanatory Text 4" xfId="714"/>
    <cellStyle name="Explanatory Text 5" xfId="715"/>
    <cellStyle name="Explanatory Text 6" xfId="716"/>
    <cellStyle name="Explanatory Text 7" xfId="717"/>
    <cellStyle name="Explanatory Text 8" xfId="718"/>
    <cellStyle name="Explanatory Text 9" xfId="719"/>
    <cellStyle name="Good 10" xfId="720"/>
    <cellStyle name="Good 11" xfId="721"/>
    <cellStyle name="Good 2" xfId="722"/>
    <cellStyle name="Good 2 2" xfId="723"/>
    <cellStyle name="Good 2 3" xfId="724"/>
    <cellStyle name="Good 2 4" xfId="725"/>
    <cellStyle name="Good 2 5" xfId="726"/>
    <cellStyle name="Good 3" xfId="727"/>
    <cellStyle name="Good 4" xfId="728"/>
    <cellStyle name="Good 5" xfId="729"/>
    <cellStyle name="Good 6" xfId="730"/>
    <cellStyle name="Good 7" xfId="731"/>
    <cellStyle name="Good 8" xfId="732"/>
    <cellStyle name="Good 9" xfId="733"/>
    <cellStyle name="Halb" xfId="734"/>
    <cellStyle name="Hea" xfId="735"/>
    <cellStyle name="Heading 1 10" xfId="736"/>
    <cellStyle name="Heading 1 2" xfId="737"/>
    <cellStyle name="Heading 1 2 2" xfId="738"/>
    <cellStyle name="Heading 1 2 3" xfId="739"/>
    <cellStyle name="Heading 1 2 4" xfId="740"/>
    <cellStyle name="Heading 1 3" xfId="741"/>
    <cellStyle name="Heading 1 4" xfId="742"/>
    <cellStyle name="Heading 1 5" xfId="743"/>
    <cellStyle name="Heading 1 6" xfId="744"/>
    <cellStyle name="Heading 1 7" xfId="745"/>
    <cellStyle name="Heading 1 8" xfId="746"/>
    <cellStyle name="Heading 1 9" xfId="747"/>
    <cellStyle name="Heading 2 2" xfId="748"/>
    <cellStyle name="Heading 2 2 2" xfId="749"/>
    <cellStyle name="Heading 2 2 3" xfId="750"/>
    <cellStyle name="Heading 2 2 4" xfId="751"/>
    <cellStyle name="Heading 2 3" xfId="752"/>
    <cellStyle name="Heading 2 4" xfId="753"/>
    <cellStyle name="Heading 2 5" xfId="754"/>
    <cellStyle name="Heading 2 6" xfId="755"/>
    <cellStyle name="Heading 2 7" xfId="756"/>
    <cellStyle name="Heading 2 8" xfId="757"/>
    <cellStyle name="Heading 2 9" xfId="758"/>
    <cellStyle name="Heading 3 2" xfId="759"/>
    <cellStyle name="Heading 3 2 2" xfId="760"/>
    <cellStyle name="Heading 3 2 3" xfId="761"/>
    <cellStyle name="Heading 3 2 4" xfId="762"/>
    <cellStyle name="Heading 3 3" xfId="763"/>
    <cellStyle name="Heading 3 4" xfId="764"/>
    <cellStyle name="Heading 3 5" xfId="765"/>
    <cellStyle name="Heading 3 6" xfId="766"/>
    <cellStyle name="Heading 3 7" xfId="767"/>
    <cellStyle name="Heading 3 8" xfId="768"/>
    <cellStyle name="Heading 3 9" xfId="769"/>
    <cellStyle name="Heading 4 2" xfId="770"/>
    <cellStyle name="Heading 4 2 2" xfId="771"/>
    <cellStyle name="Heading 4 2 3" xfId="772"/>
    <cellStyle name="Heading 4 2 4" xfId="773"/>
    <cellStyle name="Heading 4 3" xfId="774"/>
    <cellStyle name="Heading 4 4" xfId="775"/>
    <cellStyle name="Heading 4 5" xfId="776"/>
    <cellStyle name="Heading 4 6" xfId="777"/>
    <cellStyle name="Heading 4 7" xfId="778"/>
    <cellStyle name="Heading 4 8" xfId="779"/>
    <cellStyle name="Heading 4 9" xfId="780"/>
    <cellStyle name="Heading1 1" xfId="781"/>
    <cellStyle name="Hoiatustekst" xfId="782"/>
    <cellStyle name="Ievade" xfId="783"/>
    <cellStyle name="Ievade 2" xfId="784"/>
    <cellStyle name="Input 10" xfId="785"/>
    <cellStyle name="Input 11" xfId="786"/>
    <cellStyle name="Input 12" xfId="787"/>
    <cellStyle name="Input 13" xfId="788"/>
    <cellStyle name="Input 14" xfId="789"/>
    <cellStyle name="Input 15" xfId="790"/>
    <cellStyle name="Input 16" xfId="791"/>
    <cellStyle name="Input 17" xfId="792"/>
    <cellStyle name="Input 18" xfId="793"/>
    <cellStyle name="Input 19" xfId="794"/>
    <cellStyle name="Input 2" xfId="795"/>
    <cellStyle name="Input 2 2" xfId="796"/>
    <cellStyle name="Input 2 3" xfId="797"/>
    <cellStyle name="Input 2 4" xfId="798"/>
    <cellStyle name="Input 20" xfId="799"/>
    <cellStyle name="Input 21" xfId="800"/>
    <cellStyle name="Input 22" xfId="801"/>
    <cellStyle name="Input 23" xfId="802"/>
    <cellStyle name="Input 24" xfId="803"/>
    <cellStyle name="Input 25" xfId="804"/>
    <cellStyle name="Input 3" xfId="805"/>
    <cellStyle name="Input 3 2" xfId="806"/>
    <cellStyle name="Input 3 3" xfId="807"/>
    <cellStyle name="Input 4" xfId="808"/>
    <cellStyle name="Input 4 2" xfId="809"/>
    <cellStyle name="Input 4 3" xfId="810"/>
    <cellStyle name="Input 5" xfId="811"/>
    <cellStyle name="Input 5 2" xfId="812"/>
    <cellStyle name="Input 5 3" xfId="813"/>
    <cellStyle name="Input 6" xfId="814"/>
    <cellStyle name="Input 6 2" xfId="815"/>
    <cellStyle name="Input 6 3" xfId="816"/>
    <cellStyle name="Input 7" xfId="817"/>
    <cellStyle name="Input 7 2" xfId="818"/>
    <cellStyle name="Input 8" xfId="819"/>
    <cellStyle name="Input 9" xfId="820"/>
    <cellStyle name="Izcēlums1 2" xfId="821"/>
    <cellStyle name="Izcēlums2 2" xfId="822"/>
    <cellStyle name="Izcēlums3 2" xfId="823"/>
    <cellStyle name="Izcēlums4 2" xfId="824"/>
    <cellStyle name="Izcēlums5 2" xfId="825"/>
    <cellStyle name="Izcēlums6 2" xfId="826"/>
    <cellStyle name="Izvade" xfId="827"/>
    <cellStyle name="Izvade 2" xfId="828"/>
    <cellStyle name="Kokku" xfId="829"/>
    <cellStyle name="Kontrolli lahtrit" xfId="830"/>
    <cellStyle name="Kopsumma" xfId="831"/>
    <cellStyle name="Kopsumma 2" xfId="832"/>
    <cellStyle name="labi" xfId="833"/>
    <cellStyle name="Labs 2" xfId="834"/>
    <cellStyle name="Lietojamais" xfId="835"/>
    <cellStyle name="Lingitud lahter" xfId="836"/>
    <cellStyle name="Linked Cell 2" xfId="837"/>
    <cellStyle name="Linked Cell 2 2" xfId="838"/>
    <cellStyle name="Linked Cell 2 3" xfId="839"/>
    <cellStyle name="Linked Cell 2 4" xfId="840"/>
    <cellStyle name="Linked Cell 3" xfId="841"/>
    <cellStyle name="Linked Cell 4" xfId="842"/>
    <cellStyle name="Linked Cell 5" xfId="843"/>
    <cellStyle name="Linked Cell 6" xfId="844"/>
    <cellStyle name="Linked Cell 7" xfId="845"/>
    <cellStyle name="Linked Cell 8" xfId="846"/>
    <cellStyle name="Linked Cell 9" xfId="847"/>
    <cellStyle name="Märkus" xfId="848"/>
    <cellStyle name="Neitrāls" xfId="849"/>
    <cellStyle name="Neitrāls 2" xfId="850"/>
    <cellStyle name="Neutraalne" xfId="851"/>
    <cellStyle name="Neutral 10" xfId="852"/>
    <cellStyle name="Neutral 2" xfId="853"/>
    <cellStyle name="Neutral 2 2" xfId="854"/>
    <cellStyle name="Neutral 2 3" xfId="855"/>
    <cellStyle name="Neutral 2 4" xfId="856"/>
    <cellStyle name="Neutral 2 5" xfId="857"/>
    <cellStyle name="Neutral 3" xfId="858"/>
    <cellStyle name="Neutral 4" xfId="859"/>
    <cellStyle name="Neutral 5" xfId="860"/>
    <cellStyle name="Neutral 6" xfId="861"/>
    <cellStyle name="Neutral 7" xfId="862"/>
    <cellStyle name="Neutral 8" xfId="863"/>
    <cellStyle name="Neutral 9" xfId="864"/>
    <cellStyle name="Normaallaad 2" xfId="865"/>
    <cellStyle name="Normal 10" xfId="866"/>
    <cellStyle name="Normal 10 2" xfId="867"/>
    <cellStyle name="Normal 11" xfId="868"/>
    <cellStyle name="Normal 11 2" xfId="869"/>
    <cellStyle name="Normal 11 3" xfId="870"/>
    <cellStyle name="Normal 11 3 2" xfId="871"/>
    <cellStyle name="Normal 11 4" xfId="872"/>
    <cellStyle name="Normal 11 5" xfId="873"/>
    <cellStyle name="Normal 12" xfId="874"/>
    <cellStyle name="Normal 12 2" xfId="875"/>
    <cellStyle name="Normal 12 3" xfId="876"/>
    <cellStyle name="Normal 12 4" xfId="877"/>
    <cellStyle name="Normal 12_BA" xfId="878"/>
    <cellStyle name="Normal 13" xfId="879"/>
    <cellStyle name="Normal 13 2" xfId="880"/>
    <cellStyle name="Normal 13 3" xfId="881"/>
    <cellStyle name="Normal 14" xfId="882"/>
    <cellStyle name="Normal 14 2" xfId="883"/>
    <cellStyle name="Normal 14 3" xfId="884"/>
    <cellStyle name="Normal 15" xfId="885"/>
    <cellStyle name="Normal 15 2" xfId="886"/>
    <cellStyle name="Normal 15 3" xfId="887"/>
    <cellStyle name="Normal 15 4" xfId="888"/>
    <cellStyle name="Normal 15_1.TS_IS" xfId="889"/>
    <cellStyle name="Normal 16" xfId="890"/>
    <cellStyle name="Normal 17" xfId="891"/>
    <cellStyle name="Normal 18" xfId="892"/>
    <cellStyle name="Normal 19" xfId="893"/>
    <cellStyle name="Normal 19 2" xfId="894"/>
    <cellStyle name="Normal 2" xfId="895"/>
    <cellStyle name="Normal 2 2" xfId="896"/>
    <cellStyle name="Normal 2 2 2" xfId="897"/>
    <cellStyle name="Normal 2 2 2 2" xfId="898"/>
    <cellStyle name="Normal 2 2 3" xfId="899"/>
    <cellStyle name="Normal 2 3" xfId="900"/>
    <cellStyle name="Normal 2 3 2" xfId="901"/>
    <cellStyle name="Normal 2 3 3" xfId="902"/>
    <cellStyle name="Normal 2 3 4" xfId="903"/>
    <cellStyle name="Normal 2 4" xfId="904"/>
    <cellStyle name="Normal 2 4 2" xfId="905"/>
    <cellStyle name="Normal 2 5" xfId="906"/>
    <cellStyle name="Normal 2 6" xfId="907"/>
    <cellStyle name="Normal 2 7" xfId="908"/>
    <cellStyle name="Normal 2 8" xfId="909"/>
    <cellStyle name="Normal 2 9" xfId="910"/>
    <cellStyle name="Normal 2_1_1" xfId="911"/>
    <cellStyle name="Normal 20" xfId="912"/>
    <cellStyle name="Normal 21" xfId="913"/>
    <cellStyle name="Normal 22" xfId="914"/>
    <cellStyle name="Normal 23" xfId="915"/>
    <cellStyle name="Normal 24" xfId="916"/>
    <cellStyle name="Normal 25" xfId="917"/>
    <cellStyle name="Normal 26" xfId="918"/>
    <cellStyle name="Normal 27" xfId="919"/>
    <cellStyle name="Normal 27 2" xfId="920"/>
    <cellStyle name="Normal 28" xfId="921"/>
    <cellStyle name="Normal 28 2" xfId="922"/>
    <cellStyle name="Normal 29" xfId="923"/>
    <cellStyle name="Normal 3" xfId="924"/>
    <cellStyle name="Normal 3 2" xfId="925"/>
    <cellStyle name="Normal 3 2 2" xfId="926"/>
    <cellStyle name="Normal 3 2 2 2" xfId="927"/>
    <cellStyle name="Normal 3 2 3" xfId="928"/>
    <cellStyle name="Normal 3 3" xfId="929"/>
    <cellStyle name="Normal 3 3 2" xfId="930"/>
    <cellStyle name="Normal 3 3 3" xfId="931"/>
    <cellStyle name="Normal 3 4" xfId="932"/>
    <cellStyle name="Normal 3 5" xfId="933"/>
    <cellStyle name="Normal 3_BA" xfId="934"/>
    <cellStyle name="Normal 30" xfId="935"/>
    <cellStyle name="Normal 31" xfId="936"/>
    <cellStyle name="Normal 32" xfId="937"/>
    <cellStyle name="Normal 33" xfId="938"/>
    <cellStyle name="Normal 34" xfId="939"/>
    <cellStyle name="Normal 35" xfId="940"/>
    <cellStyle name="Normal 36" xfId="941"/>
    <cellStyle name="Normal 36 2" xfId="942"/>
    <cellStyle name="Normal 36 3" xfId="943"/>
    <cellStyle name="Normal 37" xfId="944"/>
    <cellStyle name="Normal 38" xfId="945"/>
    <cellStyle name="Normal 38 2" xfId="946"/>
    <cellStyle name="Normal 39" xfId="947"/>
    <cellStyle name="Normal 4" xfId="948"/>
    <cellStyle name="Normal 4 2" xfId="949"/>
    <cellStyle name="Normal 4 2 2" xfId="950"/>
    <cellStyle name="Normal 4 3" xfId="951"/>
    <cellStyle name="Normal 4 4" xfId="952"/>
    <cellStyle name="Normal 4 5" xfId="953"/>
    <cellStyle name="Normal 4_BA" xfId="954"/>
    <cellStyle name="Normal 40" xfId="955"/>
    <cellStyle name="Normal 40 2" xfId="956"/>
    <cellStyle name="Normal 41" xfId="957"/>
    <cellStyle name="Normal 42" xfId="958"/>
    <cellStyle name="Normal 43" xfId="959"/>
    <cellStyle name="Normal 44" xfId="960"/>
    <cellStyle name="Normal 45" xfId="961"/>
    <cellStyle name="Normal 46" xfId="962"/>
    <cellStyle name="Normal 47" xfId="963"/>
    <cellStyle name="Normal 48" xfId="964"/>
    <cellStyle name="Normal 49" xfId="965"/>
    <cellStyle name="Normal 5" xfId="966"/>
    <cellStyle name="Normal 5 2" xfId="967"/>
    <cellStyle name="Normal 5 3" xfId="968"/>
    <cellStyle name="Normal 5 4" xfId="969"/>
    <cellStyle name="Normal 5 5" xfId="970"/>
    <cellStyle name="Normal 5_BA" xfId="971"/>
    <cellStyle name="Normal 50" xfId="972"/>
    <cellStyle name="Normal 51" xfId="973"/>
    <cellStyle name="Normal 52" xfId="974"/>
    <cellStyle name="Normal 53" xfId="975"/>
    <cellStyle name="Normal 54" xfId="976"/>
    <cellStyle name="Normal 55" xfId="977"/>
    <cellStyle name="Normal 56" xfId="978"/>
    <cellStyle name="Normal 57" xfId="979"/>
    <cellStyle name="Normal 58" xfId="980"/>
    <cellStyle name="Normal 59" xfId="981"/>
    <cellStyle name="Normal 6" xfId="982"/>
    <cellStyle name="Normal 6 2" xfId="983"/>
    <cellStyle name="Normal 6 2 2" xfId="984"/>
    <cellStyle name="Normal 6 3" xfId="985"/>
    <cellStyle name="Normal 6_APJOMI CENAS korigeta Vidus iela tame (14.11.2013)" xfId="986"/>
    <cellStyle name="Normal 60" xfId="987"/>
    <cellStyle name="Normal 61" xfId="988"/>
    <cellStyle name="Normal 62" xfId="989"/>
    <cellStyle name="Normal 63" xfId="990"/>
    <cellStyle name="Normal 64" xfId="991"/>
    <cellStyle name="Normal 65" xfId="992"/>
    <cellStyle name="Normal 66" xfId="993"/>
    <cellStyle name="Normal 67" xfId="994"/>
    <cellStyle name="Normal 68" xfId="995"/>
    <cellStyle name="Normal 69" xfId="996"/>
    <cellStyle name="Normal 7" xfId="997"/>
    <cellStyle name="Normal 7 2" xfId="998"/>
    <cellStyle name="Normal 7 3" xfId="999"/>
    <cellStyle name="Normal 70" xfId="1000"/>
    <cellStyle name="Normal 71" xfId="1001"/>
    <cellStyle name="Normal 72" xfId="1002"/>
    <cellStyle name="Normal 73" xfId="1003"/>
    <cellStyle name="Normal 74" xfId="1004"/>
    <cellStyle name="Normal 75" xfId="1005"/>
    <cellStyle name="Normal 76" xfId="1006"/>
    <cellStyle name="Normal 77" xfId="1007"/>
    <cellStyle name="Normal 78" xfId="1008"/>
    <cellStyle name="Normal 8" xfId="1009"/>
    <cellStyle name="Normal 8 2" xfId="1010"/>
    <cellStyle name="Normal 8 2 2" xfId="1011"/>
    <cellStyle name="Normal 8_APJOMI CENAS korigeta Vidus iela tame (14.11.2013)" xfId="1012"/>
    <cellStyle name="Normal 80" xfId="1013"/>
    <cellStyle name="Normal 9" xfId="1014"/>
    <cellStyle name="Normal 9 2" xfId="1015"/>
    <cellStyle name="Normal 9 3" xfId="1016"/>
    <cellStyle name="Normal_Sheet1" xfId="1017"/>
    <cellStyle name="Nosaukums" xfId="1018"/>
    <cellStyle name="Nosaukums 2" xfId="1019"/>
    <cellStyle name="Note 10" xfId="1020"/>
    <cellStyle name="Note 2" xfId="1021"/>
    <cellStyle name="Note 2 2" xfId="1022"/>
    <cellStyle name="Note 2 3" xfId="1023"/>
    <cellStyle name="Note 2 4" xfId="1024"/>
    <cellStyle name="Note 2 5" xfId="1025"/>
    <cellStyle name="Note 2 6" xfId="1026"/>
    <cellStyle name="Note 3" xfId="1027"/>
    <cellStyle name="Note 3 2" xfId="1028"/>
    <cellStyle name="Note 4" xfId="1029"/>
    <cellStyle name="Note 5" xfId="1030"/>
    <cellStyle name="Note 6" xfId="1031"/>
    <cellStyle name="Note 7" xfId="1032"/>
    <cellStyle name="Note 8" xfId="1033"/>
    <cellStyle name="Note 9" xfId="1034"/>
    <cellStyle name="Output 10" xfId="1035"/>
    <cellStyle name="Output 11" xfId="1036"/>
    <cellStyle name="Output 12" xfId="1037"/>
    <cellStyle name="Output 13" xfId="1038"/>
    <cellStyle name="Output 14" xfId="1039"/>
    <cellStyle name="Output 15" xfId="1040"/>
    <cellStyle name="Output 16" xfId="1041"/>
    <cellStyle name="Output 17" xfId="1042"/>
    <cellStyle name="Output 18" xfId="1043"/>
    <cellStyle name="Output 19" xfId="1044"/>
    <cellStyle name="Output 2" xfId="1045"/>
    <cellStyle name="Output 2 2" xfId="1046"/>
    <cellStyle name="Output 2 3" xfId="1047"/>
    <cellStyle name="Output 2 4" xfId="1048"/>
    <cellStyle name="Output 20" xfId="1049"/>
    <cellStyle name="Output 21" xfId="1050"/>
    <cellStyle name="Output 22" xfId="1051"/>
    <cellStyle name="Output 23" xfId="1052"/>
    <cellStyle name="Output 24" xfId="1053"/>
    <cellStyle name="Output 25" xfId="1054"/>
    <cellStyle name="Output 3" xfId="1055"/>
    <cellStyle name="Output 3 2" xfId="1056"/>
    <cellStyle name="Output 3 3" xfId="1057"/>
    <cellStyle name="Output 4" xfId="1058"/>
    <cellStyle name="Output 4 2" xfId="1059"/>
    <cellStyle name="Output 4 3" xfId="1060"/>
    <cellStyle name="Output 5" xfId="1061"/>
    <cellStyle name="Output 5 2" xfId="1062"/>
    <cellStyle name="Output 5 3" xfId="1063"/>
    <cellStyle name="Output 6" xfId="1064"/>
    <cellStyle name="Output 6 2" xfId="1065"/>
    <cellStyle name="Output 6 3" xfId="1066"/>
    <cellStyle name="Output 7" xfId="1067"/>
    <cellStyle name="Output 7 2" xfId="1068"/>
    <cellStyle name="Output 8" xfId="1069"/>
    <cellStyle name="Output 9" xfId="1070"/>
    <cellStyle name="Parastais" xfId="0" builtinId="0"/>
    <cellStyle name="Parastais 3" xfId="1071"/>
    <cellStyle name="Parastais 6" xfId="1072"/>
    <cellStyle name="Parasts 2" xfId="1073"/>
    <cellStyle name="Parasts 5" xfId="1074"/>
    <cellStyle name="Paskaidrojošs teksts 2" xfId="1076"/>
    <cellStyle name="Pārbaudes šūna 2" xfId="1075"/>
    <cellStyle name="Pealkiri" xfId="1077"/>
    <cellStyle name="Pealkiri 1" xfId="1078"/>
    <cellStyle name="Pealkiri 2" xfId="1079"/>
    <cellStyle name="Pealkiri 3" xfId="1080"/>
    <cellStyle name="Pealkiri 4" xfId="1081"/>
    <cellStyle name="Percent 2" xfId="1082"/>
    <cellStyle name="Percent 2 2" xfId="1083"/>
    <cellStyle name="Percent 2 3" xfId="1084"/>
    <cellStyle name="Percent 3" xfId="1085"/>
    <cellStyle name="Percent 3 2" xfId="1086"/>
    <cellStyle name="Percent 4" xfId="1087"/>
    <cellStyle name="Percent 4 2" xfId="1088"/>
    <cellStyle name="Piezīme 2" xfId="1089"/>
    <cellStyle name="Result 1" xfId="1090"/>
    <cellStyle name="Result2 1" xfId="1091"/>
    <cellStyle name="Rõhk1" xfId="1092"/>
    <cellStyle name="Rõhk2" xfId="1093"/>
    <cellStyle name="Rõhk3" xfId="1094"/>
    <cellStyle name="Rõhk4" xfId="1095"/>
    <cellStyle name="Rõhk5" xfId="1096"/>
    <cellStyle name="Rõhk6" xfId="1097"/>
    <cellStyle name="Saistīta šūna 2" xfId="1098"/>
    <cellStyle name="Saistītā šūna 2" xfId="1099"/>
    <cellStyle name="Selgitav tekst" xfId="1100"/>
    <cellStyle name="Sisestus" xfId="1101"/>
    <cellStyle name="Slikts 2" xfId="1102"/>
    <cellStyle name="Standard_Sonderpreisliste 2002-2" xfId="1103"/>
    <cellStyle name="Stils 1" xfId="1104"/>
    <cellStyle name="Stils 1 2" xfId="1105"/>
    <cellStyle name="Stils 1 2 2" xfId="1106"/>
    <cellStyle name="Stils 1 3" xfId="1107"/>
    <cellStyle name="Style 1" xfId="1108"/>
    <cellStyle name="Style 1 2" xfId="1109"/>
    <cellStyle name="Style 1 2 2" xfId="1110"/>
    <cellStyle name="Style 1 2 3" xfId="1111"/>
    <cellStyle name="Style 1 2 4" xfId="1112"/>
    <cellStyle name="Style 1 3" xfId="1113"/>
    <cellStyle name="Style 1_1 " xfId="1114"/>
    <cellStyle name="Title 2" xfId="1115"/>
    <cellStyle name="Title 2 2" xfId="1116"/>
    <cellStyle name="Title 2 3" xfId="1117"/>
    <cellStyle name="Title 2 4" xfId="1118"/>
    <cellStyle name="Title 3" xfId="1119"/>
    <cellStyle name="Title 4" xfId="1120"/>
    <cellStyle name="Title 5" xfId="1121"/>
    <cellStyle name="Title 6" xfId="1122"/>
    <cellStyle name="Title 7" xfId="1123"/>
    <cellStyle name="Title 8" xfId="1124"/>
    <cellStyle name="Title 9" xfId="1125"/>
    <cellStyle name="Total 2" xfId="1126"/>
    <cellStyle name="Total 2 2" xfId="1127"/>
    <cellStyle name="Total 2 3" xfId="1128"/>
    <cellStyle name="Total 2 4" xfId="1129"/>
    <cellStyle name="Total 3" xfId="1130"/>
    <cellStyle name="Total 4" xfId="1131"/>
    <cellStyle name="Total 5" xfId="1132"/>
    <cellStyle name="Total 6" xfId="1133"/>
    <cellStyle name="Total 7" xfId="1134"/>
    <cellStyle name="Total 8" xfId="1135"/>
    <cellStyle name="Total 9" xfId="1136"/>
    <cellStyle name="Väljund" xfId="1137"/>
    <cellStyle name="Virsraksts 1 2" xfId="1138"/>
    <cellStyle name="Virsraksts 2 2" xfId="1139"/>
    <cellStyle name="Virsraksts 3 2" xfId="1140"/>
    <cellStyle name="Virsraksts 4 2" xfId="1141"/>
    <cellStyle name="Warning Text 2" xfId="1142"/>
    <cellStyle name="Warning Text 2 2" xfId="1143"/>
    <cellStyle name="Warning Text 2 3" xfId="1144"/>
    <cellStyle name="Warning Text 2 4" xfId="1145"/>
    <cellStyle name="Warning Text 3" xfId="1146"/>
    <cellStyle name="Warning Text 4" xfId="1147"/>
    <cellStyle name="Warning Text 5" xfId="1148"/>
    <cellStyle name="Warning Text 6" xfId="1149"/>
    <cellStyle name="Warning Text 7" xfId="1150"/>
    <cellStyle name="Warning Text 8" xfId="1151"/>
    <cellStyle name="Warning Text 9" xfId="1152"/>
    <cellStyle name="Обычный 2" xfId="1153"/>
    <cellStyle name="Обычный 2 2" xfId="1154"/>
    <cellStyle name="Обычный 2_Sheet1" xfId="1155"/>
    <cellStyle name="Обычный 3" xfId="1156"/>
    <cellStyle name="Обычный 4" xfId="1157"/>
    <cellStyle name="Обычный_2009-04-27_PED IESN" xfId="1158"/>
    <cellStyle name="Процентный 2" xfId="1159"/>
    <cellStyle name="Стиль 1" xfId="1160"/>
    <cellStyle name="Финансовый 2" xfId="11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reks">
  <a:themeElements>
    <a:clrScheme name="Treks">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Treks">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Trek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V27"/>
  <sheetViews>
    <sheetView tabSelected="1" workbookViewId="0">
      <selection activeCell="E3" sqref="E3"/>
    </sheetView>
  </sheetViews>
  <sheetFormatPr defaultColWidth="9.140625" defaultRowHeight="12.75"/>
  <cols>
    <col min="1" max="1" width="5.5703125" style="3" customWidth="1"/>
    <col min="2" max="2" width="12" style="3" customWidth="1"/>
    <col min="3" max="3" width="5.28515625" style="3" customWidth="1"/>
    <col min="4" max="4" width="9.140625" style="3"/>
    <col min="5" max="5" width="28.42578125" style="3" customWidth="1"/>
    <col min="6" max="6" width="5.42578125" style="3" customWidth="1"/>
    <col min="7" max="7" width="6.42578125" style="3" customWidth="1"/>
    <col min="8" max="8" width="5.140625" style="3" customWidth="1"/>
    <col min="9" max="9" width="2.28515625" style="3" hidden="1" customWidth="1"/>
    <col min="10" max="10" width="5.28515625" style="3" hidden="1" customWidth="1"/>
    <col min="11" max="11" width="9.140625" style="3"/>
    <col min="12" max="12" width="15" style="3" customWidth="1"/>
    <col min="13" max="16384" width="9.140625" style="3"/>
  </cols>
  <sheetData>
    <row r="1" spans="1:256">
      <c r="A1" s="4"/>
      <c r="B1" s="4"/>
      <c r="C1" s="4"/>
      <c r="D1" s="4"/>
      <c r="E1" s="4"/>
      <c r="F1" s="4"/>
      <c r="G1" s="4"/>
      <c r="H1" s="4"/>
      <c r="I1" s="322"/>
      <c r="J1" s="322"/>
      <c r="K1" s="322"/>
      <c r="L1" s="322"/>
    </row>
    <row r="2" spans="1:256" ht="24.95" customHeight="1">
      <c r="A2" s="4"/>
      <c r="B2" s="4"/>
      <c r="C2" s="4"/>
      <c r="D2" s="4"/>
      <c r="E2" s="103" t="s">
        <v>468</v>
      </c>
      <c r="F2" s="103"/>
      <c r="G2" s="103"/>
      <c r="H2" s="103"/>
      <c r="I2" s="103"/>
      <c r="J2" s="103"/>
    </row>
    <row r="3" spans="1:256" ht="43.5" customHeight="1">
      <c r="A3" s="4"/>
      <c r="B3" s="4"/>
      <c r="C3" s="4"/>
      <c r="D3" s="4"/>
      <c r="E3" s="7" t="s">
        <v>467</v>
      </c>
      <c r="F3" s="4"/>
      <c r="G3" s="323"/>
      <c r="H3" s="323"/>
      <c r="I3" s="323"/>
      <c r="J3" s="323"/>
      <c r="K3" s="323"/>
      <c r="L3" s="323"/>
    </row>
    <row r="4" spans="1:256" ht="24.95" customHeight="1">
      <c r="A4" s="4"/>
      <c r="B4" s="4"/>
      <c r="C4" s="4"/>
      <c r="D4" s="4"/>
      <c r="E4" s="4"/>
      <c r="F4" s="4"/>
      <c r="G4" s="11"/>
      <c r="H4" s="11"/>
      <c r="I4" s="11"/>
      <c r="J4" s="11"/>
      <c r="K4" s="11"/>
      <c r="L4" s="11"/>
    </row>
    <row r="5" spans="1:256" ht="24.95" customHeight="1">
      <c r="A5" s="4"/>
      <c r="B5" s="4"/>
      <c r="C5" s="4"/>
      <c r="D5" s="4"/>
      <c r="E5" s="4"/>
      <c r="F5" s="4"/>
      <c r="G5" s="11"/>
      <c r="H5" s="11"/>
      <c r="I5" s="11"/>
      <c r="J5" s="11"/>
      <c r="K5" s="11"/>
      <c r="L5" s="11" t="s">
        <v>31</v>
      </c>
    </row>
    <row r="6" spans="1:256">
      <c r="A6" s="4"/>
      <c r="B6" s="4"/>
      <c r="C6" s="4"/>
      <c r="D6" s="4"/>
      <c r="E6" s="4"/>
      <c r="F6" s="4"/>
      <c r="G6" s="324"/>
      <c r="H6" s="324"/>
      <c r="I6" s="324"/>
      <c r="J6" s="324"/>
      <c r="K6" s="324"/>
      <c r="L6" s="324"/>
    </row>
    <row r="7" spans="1:256">
      <c r="A7" s="4"/>
      <c r="B7" s="4"/>
      <c r="C7" s="4"/>
      <c r="D7" s="4"/>
      <c r="E7" s="4"/>
      <c r="F7" s="4"/>
      <c r="G7" s="8"/>
      <c r="H7" s="8"/>
      <c r="I7" s="8"/>
      <c r="J7" s="8"/>
      <c r="K7" s="8"/>
      <c r="L7" s="8"/>
    </row>
    <row r="8" spans="1:256" ht="14.25">
      <c r="A8" s="325" t="s">
        <v>466</v>
      </c>
      <c r="B8" s="325"/>
      <c r="C8" s="325"/>
      <c r="D8" s="325"/>
      <c r="E8" s="325"/>
      <c r="F8" s="325"/>
      <c r="G8" s="325"/>
      <c r="H8" s="325"/>
      <c r="I8" s="325"/>
      <c r="J8" s="325"/>
      <c r="K8" s="325"/>
      <c r="L8" s="325"/>
    </row>
    <row r="9" spans="1:256">
      <c r="A9" s="12"/>
      <c r="B9" s="12"/>
      <c r="C9" s="12"/>
      <c r="D9" s="12"/>
      <c r="E9" s="12"/>
      <c r="F9" s="12"/>
      <c r="G9" s="12"/>
      <c r="H9" s="12"/>
      <c r="I9" s="12"/>
      <c r="J9" s="12"/>
      <c r="K9" s="12"/>
      <c r="L9" s="12"/>
    </row>
    <row r="10" spans="1:256">
      <c r="A10" s="326" t="s">
        <v>4</v>
      </c>
      <c r="B10" s="326"/>
      <c r="C10" s="332" t="s">
        <v>40</v>
      </c>
      <c r="D10" s="332"/>
      <c r="E10" s="332"/>
      <c r="F10" s="332"/>
      <c r="G10" s="332"/>
      <c r="H10" s="332"/>
      <c r="I10" s="332"/>
      <c r="J10" s="332"/>
      <c r="K10" s="332"/>
      <c r="L10" s="332"/>
    </row>
    <row r="11" spans="1:256">
      <c r="A11" s="326" t="s">
        <v>5</v>
      </c>
      <c r="B11" s="326"/>
      <c r="C11" s="332" t="s">
        <v>40</v>
      </c>
      <c r="D11" s="332"/>
      <c r="E11" s="332"/>
      <c r="F11" s="332"/>
      <c r="G11" s="332"/>
      <c r="H11" s="332"/>
      <c r="I11" s="332"/>
      <c r="J11" s="332"/>
      <c r="K11" s="332"/>
      <c r="L11" s="332"/>
    </row>
    <row r="12" spans="1:256">
      <c r="A12" s="333"/>
      <c r="B12" s="333"/>
      <c r="C12" s="333"/>
      <c r="D12" s="333"/>
      <c r="E12" s="333"/>
      <c r="F12" s="333"/>
      <c r="G12" s="333"/>
      <c r="H12" s="333"/>
      <c r="I12" s="333"/>
      <c r="J12" s="333"/>
      <c r="K12" s="333"/>
      <c r="L12" s="333"/>
    </row>
    <row r="13" spans="1:256" ht="19.5" customHeight="1">
      <c r="A13" s="5"/>
      <c r="B13" s="5"/>
      <c r="C13" s="6"/>
      <c r="D13" s="6"/>
      <c r="E13" s="6"/>
      <c r="F13" s="6"/>
      <c r="G13" s="6"/>
      <c r="H13" s="6"/>
      <c r="I13" s="7"/>
      <c r="J13" s="7"/>
      <c r="K13" s="7"/>
      <c r="L13" s="7"/>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3.25" customHeight="1">
      <c r="A14" s="334" t="s">
        <v>4</v>
      </c>
      <c r="B14" s="334"/>
      <c r="C14" s="334"/>
      <c r="D14" s="334"/>
      <c r="E14" s="334"/>
      <c r="F14" s="334" t="s">
        <v>32</v>
      </c>
      <c r="G14" s="334"/>
      <c r="H14" s="334"/>
      <c r="I14" s="334"/>
      <c r="J14" s="334"/>
      <c r="K14" s="334"/>
      <c r="L14" s="13"/>
    </row>
    <row r="15" spans="1:256" ht="34.5" customHeight="1">
      <c r="A15" s="327" t="s">
        <v>40</v>
      </c>
      <c r="B15" s="328"/>
      <c r="C15" s="328"/>
      <c r="D15" s="328"/>
      <c r="E15" s="329"/>
      <c r="F15" s="330">
        <f>KOPS!D24</f>
        <v>7787182.8230000008</v>
      </c>
      <c r="G15" s="331"/>
      <c r="H15" s="331"/>
      <c r="I15" s="331"/>
      <c r="J15" s="331"/>
      <c r="K15" s="331"/>
      <c r="L15" s="14"/>
    </row>
    <row r="16" spans="1:256" ht="20.100000000000001" customHeight="1">
      <c r="A16" s="338" t="s">
        <v>37</v>
      </c>
      <c r="B16" s="338"/>
      <c r="C16" s="338"/>
      <c r="D16" s="338"/>
      <c r="E16" s="338"/>
      <c r="F16" s="339">
        <f>F15</f>
        <v>7787182.8230000008</v>
      </c>
      <c r="G16" s="340"/>
      <c r="H16" s="340"/>
      <c r="I16" s="340"/>
      <c r="J16" s="340"/>
      <c r="K16" s="340"/>
      <c r="L16" s="15"/>
    </row>
    <row r="17" spans="1:12" ht="20.100000000000001" customHeight="1">
      <c r="A17" s="341" t="s">
        <v>33</v>
      </c>
      <c r="B17" s="341"/>
      <c r="C17" s="341"/>
      <c r="D17" s="341"/>
      <c r="E17" s="341"/>
      <c r="F17" s="342">
        <f>ROUND(F16*21%,2)</f>
        <v>1635308.39</v>
      </c>
      <c r="G17" s="342"/>
      <c r="H17" s="342"/>
      <c r="I17" s="342"/>
      <c r="J17" s="342"/>
      <c r="K17" s="342"/>
      <c r="L17" s="16"/>
    </row>
    <row r="18" spans="1:12" ht="20.100000000000001" customHeight="1">
      <c r="A18" s="338" t="s">
        <v>38</v>
      </c>
      <c r="B18" s="338"/>
      <c r="C18" s="338"/>
      <c r="D18" s="338"/>
      <c r="E18" s="338"/>
      <c r="F18" s="339">
        <f>SUM(F16:K17)</f>
        <v>9422491.2130000014</v>
      </c>
      <c r="G18" s="340"/>
      <c r="H18" s="340"/>
      <c r="I18" s="340"/>
      <c r="J18" s="340"/>
      <c r="K18" s="340"/>
      <c r="L18" s="15"/>
    </row>
    <row r="19" spans="1:12" ht="20.100000000000001" customHeight="1">
      <c r="A19" s="17"/>
      <c r="B19" s="17"/>
      <c r="C19" s="17"/>
      <c r="D19" s="18"/>
      <c r="E19" s="18"/>
      <c r="F19" s="18"/>
      <c r="G19" s="18"/>
      <c r="H19" s="18"/>
      <c r="I19" s="17"/>
      <c r="J19" s="17"/>
      <c r="K19" s="19"/>
      <c r="L19" s="18"/>
    </row>
    <row r="20" spans="1:12" ht="20.100000000000001" customHeight="1">
      <c r="A20" s="3" t="s">
        <v>34</v>
      </c>
      <c r="B20" s="9"/>
      <c r="C20" s="3" t="s">
        <v>21</v>
      </c>
      <c r="E20" s="2"/>
      <c r="F20" s="335" t="s">
        <v>25</v>
      </c>
      <c r="G20" s="335"/>
      <c r="H20" s="2"/>
    </row>
    <row r="21" spans="1:12" ht="20.100000000000001" customHeight="1">
      <c r="B21" s="9"/>
      <c r="C21" s="3" t="s">
        <v>23</v>
      </c>
      <c r="E21" s="2"/>
      <c r="F21" s="336">
        <v>43733</v>
      </c>
      <c r="G21" s="337"/>
      <c r="H21" s="2"/>
    </row>
    <row r="22" spans="1:12" ht="20.100000000000001" customHeight="1"/>
    <row r="23" spans="1:12" ht="20.100000000000001" customHeight="1"/>
    <row r="24" spans="1:12" ht="20.100000000000001" customHeight="1"/>
    <row r="25" spans="1:12" ht="20.100000000000001" customHeight="1">
      <c r="D25" s="2"/>
      <c r="E25" s="2"/>
      <c r="F25" s="2"/>
      <c r="G25" s="2"/>
      <c r="H25" s="2"/>
    </row>
    <row r="26" spans="1:12" ht="20.100000000000001" customHeight="1"/>
    <row r="27" spans="1:12" ht="20.100000000000001" customHeight="1"/>
  </sheetData>
  <mergeCells count="22">
    <mergeCell ref="F20:G20"/>
    <mergeCell ref="F21:G21"/>
    <mergeCell ref="A16:E16"/>
    <mergeCell ref="F16:K16"/>
    <mergeCell ref="A17:E17"/>
    <mergeCell ref="F17:K17"/>
    <mergeCell ref="A18:E18"/>
    <mergeCell ref="F18:K18"/>
    <mergeCell ref="A15:E15"/>
    <mergeCell ref="F15:K15"/>
    <mergeCell ref="C10:L10"/>
    <mergeCell ref="A11:B11"/>
    <mergeCell ref="C11:L11"/>
    <mergeCell ref="A12:B12"/>
    <mergeCell ref="C12:L12"/>
    <mergeCell ref="A14:E14"/>
    <mergeCell ref="F14:K14"/>
    <mergeCell ref="I1:L1"/>
    <mergeCell ref="G3:L3"/>
    <mergeCell ref="G6:L6"/>
    <mergeCell ref="A8:L8"/>
    <mergeCell ref="A10:B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V27"/>
  <sheetViews>
    <sheetView topLeftCell="A7" zoomScale="70" zoomScaleNormal="70" workbookViewId="0">
      <selection activeCell="D23" sqref="D23"/>
    </sheetView>
  </sheetViews>
  <sheetFormatPr defaultColWidth="9.140625" defaultRowHeight="15.75"/>
  <cols>
    <col min="1" max="1" width="5.7109375" style="227" customWidth="1"/>
    <col min="2" max="2" width="34.85546875" style="210" customWidth="1"/>
    <col min="3" max="3" width="6.28515625" style="209" customWidth="1"/>
    <col min="4" max="4" width="11.42578125" style="209" customWidth="1"/>
    <col min="5" max="5" width="9.5703125" style="228" customWidth="1"/>
    <col min="6" max="6" width="7.28515625" style="210" customWidth="1"/>
    <col min="7" max="7" width="10.85546875" style="210" customWidth="1"/>
    <col min="8" max="8" width="11.85546875" style="210" customWidth="1"/>
    <col min="9" max="9" width="10.7109375" style="210" customWidth="1"/>
    <col min="10" max="10" width="12.28515625" style="210" customWidth="1"/>
    <col min="11" max="11" width="11.42578125" style="210" customWidth="1"/>
    <col min="12" max="12" width="15.28515625" style="210" customWidth="1"/>
    <col min="13" max="13" width="13.140625" style="210" customWidth="1"/>
    <col min="14" max="14" width="10.5703125" style="210" customWidth="1"/>
    <col min="15" max="15" width="13.85546875" style="210" customWidth="1"/>
    <col min="16" max="16" width="9.28515625" style="210" customWidth="1"/>
    <col min="17" max="17" width="13.7109375" style="210" customWidth="1"/>
    <col min="18" max="18" width="9.28515625" style="210" customWidth="1"/>
    <col min="19" max="19" width="14.85546875" style="210" customWidth="1"/>
    <col min="20" max="20" width="16.140625" style="210" customWidth="1"/>
    <col min="21" max="21" width="16.7109375" style="210" customWidth="1"/>
    <col min="22" max="16384" width="9.140625" style="210"/>
  </cols>
  <sheetData>
    <row r="1" spans="1:22" s="207" customFormat="1" ht="16.5" thickBot="1">
      <c r="A1" s="388" t="s">
        <v>49</v>
      </c>
      <c r="B1" s="388"/>
      <c r="C1" s="388"/>
      <c r="D1" s="388"/>
      <c r="E1" s="388"/>
      <c r="F1" s="388"/>
      <c r="G1" s="388"/>
      <c r="H1" s="388"/>
      <c r="I1" s="388"/>
      <c r="J1" s="388"/>
      <c r="K1" s="388"/>
      <c r="L1" s="388"/>
      <c r="M1" s="388"/>
      <c r="N1" s="388"/>
    </row>
    <row r="2" spans="1:22" s="207" customFormat="1" ht="16.5" customHeight="1" thickTop="1">
      <c r="A2" s="389" t="s">
        <v>45</v>
      </c>
      <c r="B2" s="389"/>
      <c r="C2" s="389"/>
      <c r="D2" s="389"/>
      <c r="E2" s="389"/>
      <c r="F2" s="389"/>
      <c r="G2" s="389"/>
      <c r="H2" s="389"/>
      <c r="I2" s="389"/>
      <c r="J2" s="389"/>
      <c r="K2" s="389"/>
      <c r="L2" s="389"/>
      <c r="M2" s="389"/>
      <c r="N2" s="389"/>
    </row>
    <row r="3" spans="1:22">
      <c r="A3" s="208"/>
      <c r="B3" s="209"/>
      <c r="E3" s="210"/>
    </row>
    <row r="4" spans="1:22">
      <c r="A4" s="390" t="s">
        <v>4</v>
      </c>
      <c r="B4" s="390"/>
      <c r="C4" s="391" t="s">
        <v>40</v>
      </c>
      <c r="D4" s="391"/>
      <c r="E4" s="391"/>
      <c r="F4" s="391"/>
      <c r="G4" s="391"/>
      <c r="H4" s="391"/>
      <c r="I4" s="391"/>
      <c r="J4" s="391"/>
      <c r="K4" s="391"/>
      <c r="L4" s="391"/>
    </row>
    <row r="5" spans="1:22">
      <c r="A5" s="390" t="s">
        <v>5</v>
      </c>
      <c r="B5" s="390"/>
      <c r="C5" s="391" t="s">
        <v>41</v>
      </c>
      <c r="D5" s="391"/>
      <c r="E5" s="391"/>
      <c r="F5" s="391"/>
      <c r="G5" s="391"/>
      <c r="H5" s="391"/>
      <c r="I5" s="391"/>
      <c r="J5" s="391"/>
      <c r="K5" s="391"/>
      <c r="L5" s="391"/>
    </row>
    <row r="6" spans="1:22">
      <c r="A6" s="392"/>
      <c r="B6" s="392"/>
      <c r="C6" s="392"/>
      <c r="D6" s="392"/>
      <c r="E6" s="392"/>
      <c r="F6" s="392"/>
      <c r="G6" s="392"/>
      <c r="H6" s="392"/>
      <c r="I6" s="392"/>
      <c r="J6" s="392"/>
      <c r="K6" s="392"/>
      <c r="L6" s="392"/>
    </row>
    <row r="7" spans="1:22" s="207" customFormat="1">
      <c r="A7" s="231"/>
      <c r="B7" s="232"/>
      <c r="C7" s="232"/>
      <c r="D7" s="232"/>
      <c r="E7" s="232"/>
      <c r="F7" s="232"/>
      <c r="G7" s="232"/>
      <c r="H7" s="20"/>
      <c r="I7" s="20"/>
      <c r="J7" s="20"/>
      <c r="K7" s="20"/>
      <c r="L7" s="20"/>
      <c r="M7" s="20"/>
      <c r="N7" s="20"/>
      <c r="O7" s="20"/>
    </row>
    <row r="8" spans="1:22" s="207" customFormat="1">
      <c r="A8" s="20"/>
      <c r="B8" s="21"/>
      <c r="C8" s="21"/>
      <c r="D8" s="22"/>
      <c r="E8" s="20"/>
      <c r="F8" s="20"/>
      <c r="G8" s="20"/>
      <c r="H8" s="20"/>
      <c r="I8" s="20"/>
      <c r="J8" s="20"/>
      <c r="K8" s="23" t="s">
        <v>6</v>
      </c>
      <c r="L8" s="24">
        <f>O19</f>
        <v>1104198.9099999999</v>
      </c>
      <c r="M8" s="25" t="s">
        <v>7</v>
      </c>
      <c r="N8" s="20"/>
      <c r="O8" s="20"/>
    </row>
    <row r="9" spans="1:22" s="207" customFormat="1">
      <c r="A9" s="20"/>
      <c r="B9" s="21"/>
      <c r="C9" s="21"/>
      <c r="D9" s="22"/>
      <c r="E9" s="20"/>
      <c r="F9" s="20"/>
      <c r="G9" s="20"/>
      <c r="H9" s="20"/>
      <c r="I9" s="20"/>
      <c r="J9" s="20"/>
      <c r="K9" s="23"/>
      <c r="L9" s="26"/>
      <c r="M9" s="25"/>
      <c r="N9" s="20"/>
      <c r="O9" s="20"/>
    </row>
    <row r="10" spans="1:22" ht="12.75" customHeight="1">
      <c r="A10" s="372" t="s">
        <v>8</v>
      </c>
      <c r="B10" s="373" t="s">
        <v>1</v>
      </c>
      <c r="C10" s="372" t="s">
        <v>2</v>
      </c>
      <c r="D10" s="372" t="s">
        <v>3</v>
      </c>
      <c r="E10" s="373" t="s">
        <v>9</v>
      </c>
      <c r="F10" s="373"/>
      <c r="G10" s="373"/>
      <c r="H10" s="373"/>
      <c r="I10" s="373"/>
      <c r="J10" s="373"/>
      <c r="K10" s="373" t="s">
        <v>10</v>
      </c>
      <c r="L10" s="373"/>
      <c r="M10" s="373"/>
      <c r="N10" s="373"/>
      <c r="O10" s="373"/>
      <c r="P10" s="193"/>
      <c r="Q10" s="214"/>
      <c r="R10" s="214"/>
      <c r="S10" s="214"/>
      <c r="T10" s="214"/>
      <c r="U10" s="214"/>
    </row>
    <row r="11" spans="1:22" ht="82.5">
      <c r="A11" s="385"/>
      <c r="B11" s="386"/>
      <c r="C11" s="385"/>
      <c r="D11" s="385"/>
      <c r="E11" s="38" t="s">
        <v>11</v>
      </c>
      <c r="F11" s="105" t="s">
        <v>12</v>
      </c>
      <c r="G11" s="105" t="s">
        <v>17</v>
      </c>
      <c r="H11" s="105" t="s">
        <v>13</v>
      </c>
      <c r="I11" s="105" t="s">
        <v>14</v>
      </c>
      <c r="J11" s="105" t="s">
        <v>15</v>
      </c>
      <c r="K11" s="105" t="s">
        <v>16</v>
      </c>
      <c r="L11" s="105" t="s">
        <v>17</v>
      </c>
      <c r="M11" s="105" t="s">
        <v>13</v>
      </c>
      <c r="N11" s="105" t="s">
        <v>14</v>
      </c>
      <c r="O11" s="105" t="s">
        <v>18</v>
      </c>
      <c r="P11" s="286"/>
      <c r="Q11" s="213" t="s">
        <v>470</v>
      </c>
      <c r="R11" s="213"/>
      <c r="S11" s="213" t="s">
        <v>469</v>
      </c>
      <c r="T11" s="213" t="s">
        <v>474</v>
      </c>
      <c r="U11" s="213" t="s">
        <v>38</v>
      </c>
      <c r="V11" s="287"/>
    </row>
    <row r="12" spans="1:22" ht="141" customHeight="1">
      <c r="A12" s="39"/>
      <c r="B12" s="40" t="s">
        <v>50</v>
      </c>
      <c r="C12" s="39"/>
      <c r="D12" s="41"/>
      <c r="E12" s="42"/>
      <c r="F12" s="42"/>
      <c r="G12" s="43"/>
      <c r="H12" s="42"/>
      <c r="I12" s="44"/>
      <c r="J12" s="45"/>
      <c r="K12" s="46"/>
      <c r="L12" s="44"/>
      <c r="M12" s="44"/>
      <c r="N12" s="44"/>
      <c r="O12" s="30"/>
      <c r="P12" s="193"/>
      <c r="Q12" s="214"/>
      <c r="R12" s="214"/>
      <c r="S12" s="214"/>
      <c r="T12" s="214"/>
      <c r="U12" s="214"/>
    </row>
    <row r="13" spans="1:22" ht="19.5" customHeight="1">
      <c r="A13" s="36" t="s">
        <v>39</v>
      </c>
      <c r="B13" s="54" t="s">
        <v>47</v>
      </c>
      <c r="C13" s="37" t="s">
        <v>48</v>
      </c>
      <c r="D13" s="47">
        <v>1</v>
      </c>
      <c r="E13" s="48">
        <v>0</v>
      </c>
      <c r="F13" s="48">
        <v>0</v>
      </c>
      <c r="G13" s="49">
        <f>(234835/0.7028*1.3)+3450</f>
        <v>437834.60443938535</v>
      </c>
      <c r="H13" s="48">
        <f>(65091/0.7028*1.3)+6400</f>
        <v>126801.67899829255</v>
      </c>
      <c r="I13" s="50">
        <f>(700/0.7028*1.3)+56230</f>
        <v>57524.820717131472</v>
      </c>
      <c r="J13" s="51">
        <f>SUM(G13:I13)</f>
        <v>622161.10415480938</v>
      </c>
      <c r="K13" s="52">
        <f>ROUND(D13*E13,2)</f>
        <v>0</v>
      </c>
      <c r="L13" s="50">
        <f>ROUND(D13*G13,2)</f>
        <v>437834.6</v>
      </c>
      <c r="M13" s="50">
        <f>ROUND(D13*H13,2)</f>
        <v>126801.68</v>
      </c>
      <c r="N13" s="50">
        <f>ROUND(D13*I13,2)</f>
        <v>57524.82</v>
      </c>
      <c r="O13" s="28">
        <f>SUM(L13:N13)</f>
        <v>622161.1</v>
      </c>
      <c r="P13" s="193"/>
      <c r="Q13" s="214"/>
      <c r="R13" s="214"/>
      <c r="S13" s="214"/>
      <c r="T13" s="214"/>
      <c r="U13" s="214"/>
    </row>
    <row r="14" spans="1:22">
      <c r="A14" s="273">
        <v>2</v>
      </c>
      <c r="B14" s="181" t="s">
        <v>462</v>
      </c>
      <c r="C14" s="182" t="s">
        <v>48</v>
      </c>
      <c r="D14" s="237">
        <v>1</v>
      </c>
      <c r="E14" s="48">
        <v>0</v>
      </c>
      <c r="F14" s="48">
        <v>0</v>
      </c>
      <c r="G14" s="49">
        <v>16000</v>
      </c>
      <c r="H14" s="48">
        <v>30000</v>
      </c>
      <c r="I14" s="50">
        <v>620</v>
      </c>
      <c r="J14" s="51">
        <f>SUM(G14:I14)</f>
        <v>46620</v>
      </c>
      <c r="K14" s="52">
        <f>ROUND(D14*E14,2)</f>
        <v>0</v>
      </c>
      <c r="L14" s="50">
        <f>ROUND(D14*G14,2)</f>
        <v>16000</v>
      </c>
      <c r="M14" s="50">
        <f>ROUND(D14*H14,2)</f>
        <v>30000</v>
      </c>
      <c r="N14" s="50">
        <f>ROUND(D14*I14,2)</f>
        <v>620</v>
      </c>
      <c r="O14" s="28">
        <f>SUM(L14:N14)</f>
        <v>46620</v>
      </c>
      <c r="P14" s="193"/>
      <c r="Q14" s="214"/>
      <c r="R14" s="214"/>
      <c r="S14" s="214"/>
      <c r="T14" s="214"/>
      <c r="U14" s="214"/>
    </row>
    <row r="15" spans="1:22" ht="19.5" customHeight="1">
      <c r="A15" s="185"/>
      <c r="B15" s="235" t="s">
        <v>51</v>
      </c>
      <c r="C15" s="185"/>
      <c r="D15" s="236"/>
      <c r="E15" s="48"/>
      <c r="F15" s="48"/>
      <c r="G15" s="49"/>
      <c r="H15" s="48"/>
      <c r="I15" s="50"/>
      <c r="J15" s="51"/>
      <c r="K15" s="52"/>
      <c r="L15" s="50"/>
      <c r="M15" s="50"/>
      <c r="N15" s="50"/>
      <c r="O15" s="28"/>
      <c r="P15" s="193"/>
      <c r="Q15" s="214"/>
      <c r="R15" s="214"/>
      <c r="S15" s="214"/>
      <c r="T15" s="214"/>
      <c r="U15" s="214"/>
    </row>
    <row r="16" spans="1:22" ht="33" customHeight="1">
      <c r="A16" s="36" t="s">
        <v>39</v>
      </c>
      <c r="B16" s="54" t="s">
        <v>52</v>
      </c>
      <c r="C16" s="37" t="s">
        <v>48</v>
      </c>
      <c r="D16" s="47">
        <v>1</v>
      </c>
      <c r="E16" s="48">
        <v>0</v>
      </c>
      <c r="F16" s="48">
        <v>0</v>
      </c>
      <c r="G16" s="264">
        <f>471547.36/2</f>
        <v>235773.68</v>
      </c>
      <c r="H16" s="264">
        <f>221978.3/2</f>
        <v>110989.15</v>
      </c>
      <c r="I16" s="264">
        <f>59709.96/2</f>
        <v>29854.98</v>
      </c>
      <c r="J16" s="51">
        <f>SUM(G16:I16)</f>
        <v>376617.80999999994</v>
      </c>
      <c r="K16" s="52">
        <f>ROUND(D16*E16,2)</f>
        <v>0</v>
      </c>
      <c r="L16" s="50">
        <f>ROUND(D16*G16,2)</f>
        <v>235773.68</v>
      </c>
      <c r="M16" s="50">
        <f>ROUND(D16*H16,2)</f>
        <v>110989.15</v>
      </c>
      <c r="N16" s="50">
        <f>ROUND(D16*I16,2)</f>
        <v>29854.98</v>
      </c>
      <c r="O16" s="28">
        <f>SUM(L16:N16)</f>
        <v>376617.80999999994</v>
      </c>
      <c r="P16" s="193"/>
      <c r="Q16" s="214"/>
      <c r="R16" s="214"/>
      <c r="S16" s="214"/>
      <c r="T16" s="214"/>
      <c r="U16" s="214"/>
    </row>
    <row r="17" spans="1:21">
      <c r="A17" s="35"/>
      <c r="B17" s="33" t="s">
        <v>43</v>
      </c>
      <c r="C17" s="32"/>
      <c r="D17" s="53"/>
      <c r="E17" s="42"/>
      <c r="F17" s="42"/>
      <c r="G17" s="43"/>
      <c r="H17" s="55"/>
      <c r="I17" s="43"/>
      <c r="J17" s="45"/>
      <c r="K17" s="46"/>
      <c r="L17" s="44"/>
      <c r="M17" s="44"/>
      <c r="N17" s="44"/>
      <c r="O17" s="30"/>
      <c r="P17" s="193"/>
      <c r="Q17" s="214"/>
      <c r="R17" s="214"/>
      <c r="S17" s="214"/>
      <c r="T17" s="214"/>
      <c r="U17" s="214"/>
    </row>
    <row r="18" spans="1:21" ht="31.5">
      <c r="A18" s="155">
        <v>2</v>
      </c>
      <c r="B18" s="139" t="s">
        <v>42</v>
      </c>
      <c r="C18" s="141" t="s">
        <v>44</v>
      </c>
      <c r="D18" s="238">
        <v>12</v>
      </c>
      <c r="E18" s="48">
        <v>0</v>
      </c>
      <c r="F18" s="48">
        <v>0</v>
      </c>
      <c r="G18" s="49">
        <v>4900</v>
      </c>
      <c r="H18" s="48">
        <v>0</v>
      </c>
      <c r="I18" s="50">
        <v>0</v>
      </c>
      <c r="J18" s="51">
        <f>SUM(G18:I18)</f>
        <v>4900</v>
      </c>
      <c r="K18" s="52">
        <f>ROUND(D18*E18,2)</f>
        <v>0</v>
      </c>
      <c r="L18" s="50">
        <f>ROUND(D18*G18,2)</f>
        <v>58800</v>
      </c>
      <c r="M18" s="50">
        <f>ROUND(D18*H18,2)</f>
        <v>0</v>
      </c>
      <c r="N18" s="50">
        <f>ROUND(D18*I18,2)</f>
        <v>0</v>
      </c>
      <c r="O18" s="28">
        <f>SUM(L18:N18)</f>
        <v>58800</v>
      </c>
      <c r="P18" s="193"/>
      <c r="Q18" s="214"/>
      <c r="R18" s="214"/>
      <c r="S18" s="214"/>
      <c r="T18" s="214"/>
      <c r="U18" s="214"/>
    </row>
    <row r="19" spans="1:21">
      <c r="A19" s="382" t="s">
        <v>19</v>
      </c>
      <c r="B19" s="382"/>
      <c r="C19" s="382"/>
      <c r="D19" s="382"/>
      <c r="E19" s="382"/>
      <c r="F19" s="382"/>
      <c r="G19" s="382"/>
      <c r="H19" s="382"/>
      <c r="I19" s="382"/>
      <c r="J19" s="382"/>
      <c r="K19" s="34">
        <f>SUM(K13:K18)</f>
        <v>0</v>
      </c>
      <c r="L19" s="34">
        <f>SUM(L13:L18)</f>
        <v>748408.28</v>
      </c>
      <c r="M19" s="34">
        <f>SUM(M13:M18)</f>
        <v>267790.82999999996</v>
      </c>
      <c r="N19" s="34">
        <f>SUM(N13:N18)</f>
        <v>87999.8</v>
      </c>
      <c r="O19" s="34">
        <f>SUM(O13:O18)</f>
        <v>1104198.9099999999</v>
      </c>
      <c r="P19" s="288">
        <v>0.05</v>
      </c>
      <c r="Q19" s="216">
        <f>ROUND(O19*P19,2)</f>
        <v>55209.95</v>
      </c>
      <c r="R19" s="216">
        <v>0.12</v>
      </c>
      <c r="S19" s="216">
        <f>ROUND(O19*R19,2)</f>
        <v>132503.87</v>
      </c>
      <c r="T19" s="216">
        <f>O19+Q19+S19</f>
        <v>1291912.73</v>
      </c>
      <c r="U19" s="198">
        <f>ROUND(T19*1.21,2)</f>
        <v>1563214.4</v>
      </c>
    </row>
    <row r="20" spans="1:21">
      <c r="A20" s="211"/>
      <c r="B20" s="289"/>
      <c r="C20" s="290"/>
      <c r="D20" s="291"/>
      <c r="E20" s="292"/>
      <c r="F20" s="292"/>
      <c r="G20" s="292"/>
      <c r="H20" s="292"/>
      <c r="I20" s="293"/>
      <c r="J20" s="292"/>
      <c r="K20" s="294"/>
      <c r="L20" s="294"/>
      <c r="M20" s="294"/>
      <c r="N20" s="294"/>
      <c r="O20" s="294"/>
    </row>
    <row r="21" spans="1:21">
      <c r="A21" s="224"/>
      <c r="B21" s="225"/>
      <c r="C21" s="295"/>
      <c r="D21" s="211"/>
      <c r="E21" s="211"/>
      <c r="F21" s="211"/>
      <c r="G21" s="226"/>
      <c r="I21" s="211"/>
      <c r="J21" s="211"/>
      <c r="K21" s="211"/>
      <c r="L21" s="211"/>
      <c r="M21" s="211"/>
      <c r="N21" s="211"/>
      <c r="O21" s="211"/>
    </row>
    <row r="22" spans="1:21">
      <c r="A22" s="209"/>
      <c r="B22" s="225"/>
      <c r="C22" s="295"/>
      <c r="D22" s="211"/>
      <c r="E22" s="211"/>
      <c r="F22" s="211"/>
      <c r="G22" s="226"/>
      <c r="H22" s="383"/>
      <c r="I22" s="383"/>
      <c r="J22" s="211"/>
      <c r="K22" s="211"/>
      <c r="L22" s="211"/>
      <c r="M22" s="211"/>
      <c r="N22" s="211"/>
      <c r="O22" s="211"/>
    </row>
    <row r="23" spans="1:21">
      <c r="A23" s="381"/>
      <c r="B23" s="381"/>
      <c r="C23" s="295"/>
      <c r="D23" s="211"/>
      <c r="E23" s="211"/>
      <c r="F23" s="211"/>
      <c r="G23" s="211"/>
      <c r="H23" s="211"/>
      <c r="I23" s="211"/>
      <c r="J23" s="211"/>
      <c r="K23" s="211"/>
      <c r="L23" s="211"/>
      <c r="M23" s="211"/>
      <c r="N23" s="211"/>
      <c r="O23" s="211"/>
    </row>
    <row r="24" spans="1:21">
      <c r="A24" s="209"/>
      <c r="B24" s="225"/>
      <c r="C24" s="295"/>
      <c r="D24" s="211"/>
      <c r="E24" s="211"/>
      <c r="F24" s="211"/>
      <c r="G24" s="226"/>
      <c r="H24" s="211"/>
      <c r="I24" s="211"/>
      <c r="J24" s="211"/>
      <c r="K24" s="211"/>
      <c r="L24" s="211"/>
      <c r="M24" s="211"/>
      <c r="N24" s="211"/>
      <c r="O24" s="211"/>
    </row>
    <row r="25" spans="1:21">
      <c r="A25" s="224"/>
      <c r="B25" s="225"/>
      <c r="C25" s="295"/>
      <c r="D25" s="211"/>
      <c r="E25" s="211"/>
      <c r="F25" s="211"/>
      <c r="G25" s="211"/>
      <c r="H25" s="381"/>
      <c r="I25" s="381"/>
      <c r="J25" s="211"/>
      <c r="K25" s="211"/>
      <c r="L25" s="211"/>
      <c r="M25" s="211"/>
      <c r="N25" s="211"/>
      <c r="O25" s="211"/>
    </row>
    <row r="26" spans="1:21">
      <c r="A26" s="209"/>
      <c r="B26" s="225"/>
      <c r="C26" s="295"/>
      <c r="D26" s="211"/>
      <c r="E26" s="211"/>
      <c r="F26" s="211"/>
      <c r="G26" s="226"/>
      <c r="H26" s="383"/>
      <c r="I26" s="383"/>
      <c r="J26" s="211"/>
      <c r="K26" s="211"/>
      <c r="L26" s="211"/>
      <c r="M26" s="211"/>
      <c r="N26" s="211"/>
      <c r="O26" s="211"/>
    </row>
    <row r="27" spans="1:21">
      <c r="A27" s="381"/>
      <c r="B27" s="381"/>
      <c r="C27" s="295"/>
      <c r="D27" s="211"/>
      <c r="E27" s="211"/>
      <c r="F27" s="211"/>
      <c r="G27" s="211"/>
      <c r="H27" s="211"/>
      <c r="I27" s="211"/>
      <c r="J27" s="211"/>
      <c r="K27" s="211"/>
      <c r="L27" s="211"/>
      <c r="M27" s="211"/>
      <c r="N27" s="211"/>
      <c r="O27" s="211"/>
    </row>
  </sheetData>
  <mergeCells count="20">
    <mergeCell ref="A27:B27"/>
    <mergeCell ref="A6:B6"/>
    <mergeCell ref="C6:L6"/>
    <mergeCell ref="A10:A11"/>
    <mergeCell ref="B10:B11"/>
    <mergeCell ref="C10:C11"/>
    <mergeCell ref="D10:D11"/>
    <mergeCell ref="E10:J10"/>
    <mergeCell ref="K10:O10"/>
    <mergeCell ref="A19:J19"/>
    <mergeCell ref="H22:I22"/>
    <mergeCell ref="A23:B23"/>
    <mergeCell ref="H25:I25"/>
    <mergeCell ref="H26:I26"/>
    <mergeCell ref="A1:N1"/>
    <mergeCell ref="A2:N2"/>
    <mergeCell ref="A4:B4"/>
    <mergeCell ref="C4:L4"/>
    <mergeCell ref="A5:B5"/>
    <mergeCell ref="C5:L5"/>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0000"/>
  </sheetPr>
  <dimension ref="A1:IR33"/>
  <sheetViews>
    <sheetView topLeftCell="C16" zoomScaleNormal="100" workbookViewId="0">
      <selection activeCell="K7" sqref="K7"/>
    </sheetView>
  </sheetViews>
  <sheetFormatPr defaultColWidth="9.140625" defaultRowHeight="12.75"/>
  <cols>
    <col min="1" max="1" width="4.42578125" style="296" customWidth="1"/>
    <col min="2" max="2" width="13.28515625" style="296" customWidth="1"/>
    <col min="3" max="3" width="39.7109375" style="296" customWidth="1"/>
    <col min="4" max="4" width="12.42578125" style="298" customWidth="1"/>
    <col min="5" max="5" width="9.140625" style="296"/>
    <col min="6" max="6" width="13" style="296" bestFit="1" customWidth="1"/>
    <col min="7" max="7" width="5.5703125" style="296" customWidth="1"/>
    <col min="8" max="10" width="9.140625" style="296"/>
    <col min="11" max="11" width="10.7109375" style="296" customWidth="1"/>
    <col min="12" max="12" width="9.140625" style="296"/>
    <col min="13" max="13" width="13" style="296" bestFit="1" customWidth="1"/>
    <col min="14" max="16384" width="9.140625" style="296"/>
  </cols>
  <sheetData>
    <row r="1" spans="1:13" ht="14.25">
      <c r="A1" s="344" t="s">
        <v>26</v>
      </c>
      <c r="B1" s="344"/>
      <c r="C1" s="344"/>
      <c r="D1" s="344"/>
    </row>
    <row r="2" spans="1:13" ht="24.95" customHeight="1">
      <c r="A2" s="1"/>
      <c r="B2" s="1"/>
      <c r="C2" s="1"/>
      <c r="D2" s="1"/>
    </row>
    <row r="3" spans="1:13" s="106" customFormat="1" ht="25.5">
      <c r="A3" s="345" t="s">
        <v>4</v>
      </c>
      <c r="B3" s="345"/>
      <c r="C3" s="104" t="s">
        <v>40</v>
      </c>
      <c r="D3" s="104"/>
      <c r="E3" s="299"/>
      <c r="F3" s="299"/>
      <c r="G3" s="299"/>
      <c r="H3" s="299"/>
    </row>
    <row r="4" spans="1:13" s="106" customFormat="1" ht="25.5">
      <c r="A4" s="345" t="s">
        <v>5</v>
      </c>
      <c r="B4" s="345"/>
      <c r="C4" s="104" t="s">
        <v>40</v>
      </c>
      <c r="D4" s="104"/>
      <c r="E4" s="299"/>
      <c r="F4" s="299"/>
      <c r="G4" s="299"/>
      <c r="H4" s="299"/>
    </row>
    <row r="5" spans="1:13" s="106" customFormat="1">
      <c r="A5" s="343"/>
      <c r="B5" s="343"/>
      <c r="C5" s="301"/>
      <c r="D5" s="301"/>
      <c r="E5" s="300"/>
      <c r="F5" s="300"/>
      <c r="G5" s="300"/>
      <c r="H5" s="300"/>
    </row>
    <row r="6" spans="1:13" ht="26.25" customHeight="1">
      <c r="A6" s="346" t="s">
        <v>46</v>
      </c>
      <c r="B6" s="346"/>
      <c r="C6" s="346"/>
      <c r="D6" s="346"/>
    </row>
    <row r="7" spans="1:13">
      <c r="A7" s="1"/>
      <c r="B7" s="1"/>
      <c r="C7" s="1"/>
      <c r="D7" s="302"/>
    </row>
    <row r="8" spans="1:13">
      <c r="A8" s="347" t="s">
        <v>0</v>
      </c>
      <c r="B8" s="347" t="s">
        <v>464</v>
      </c>
      <c r="C8" s="347" t="s">
        <v>27</v>
      </c>
      <c r="D8" s="347" t="s">
        <v>465</v>
      </c>
      <c r="E8" s="362"/>
      <c r="F8" s="365"/>
      <c r="G8" s="365"/>
      <c r="H8" s="349" t="s">
        <v>469</v>
      </c>
      <c r="I8" s="359"/>
      <c r="J8" s="349" t="s">
        <v>470</v>
      </c>
      <c r="K8" s="349" t="s">
        <v>475</v>
      </c>
      <c r="L8" s="359"/>
      <c r="M8" s="350" t="s">
        <v>38</v>
      </c>
    </row>
    <row r="9" spans="1:13">
      <c r="A9" s="347"/>
      <c r="B9" s="347"/>
      <c r="C9" s="347"/>
      <c r="D9" s="347"/>
      <c r="E9" s="363"/>
      <c r="F9" s="366"/>
      <c r="G9" s="366"/>
      <c r="H9" s="349"/>
      <c r="I9" s="360"/>
      <c r="J9" s="349"/>
      <c r="K9" s="349"/>
      <c r="L9" s="360"/>
      <c r="M9" s="350"/>
    </row>
    <row r="10" spans="1:13" ht="24.95" customHeight="1">
      <c r="A10" s="347"/>
      <c r="B10" s="347"/>
      <c r="C10" s="347"/>
      <c r="D10" s="347"/>
      <c r="E10" s="363"/>
      <c r="F10" s="366"/>
      <c r="G10" s="366"/>
      <c r="H10" s="349"/>
      <c r="I10" s="360"/>
      <c r="J10" s="349"/>
      <c r="K10" s="349"/>
      <c r="L10" s="360"/>
      <c r="M10" s="350"/>
    </row>
    <row r="11" spans="1:13" ht="34.5" customHeight="1" thickBot="1">
      <c r="A11" s="348"/>
      <c r="B11" s="348"/>
      <c r="C11" s="348"/>
      <c r="D11" s="348"/>
      <c r="E11" s="364"/>
      <c r="F11" s="367"/>
      <c r="G11" s="367"/>
      <c r="H11" s="349"/>
      <c r="I11" s="361"/>
      <c r="J11" s="349"/>
      <c r="K11" s="349"/>
      <c r="L11" s="361"/>
      <c r="M11" s="350"/>
    </row>
    <row r="12" spans="1:13" ht="13.5" thickTop="1">
      <c r="A12" s="303">
        <v>1</v>
      </c>
      <c r="B12" s="304" t="s">
        <v>54</v>
      </c>
      <c r="C12" s="56" t="s">
        <v>61</v>
      </c>
      <c r="D12" s="29">
        <f>'1.Kārta'!O99</f>
        <v>784464.77</v>
      </c>
      <c r="E12" s="320"/>
      <c r="F12" s="321"/>
      <c r="G12" s="317">
        <v>0.12</v>
      </c>
      <c r="H12" s="317">
        <f>ROUND(D12*G12,2)</f>
        <v>94135.77</v>
      </c>
      <c r="I12" s="317">
        <v>0.05</v>
      </c>
      <c r="J12" s="317">
        <f>ROUND(D12*I12,2)</f>
        <v>39223.24</v>
      </c>
      <c r="K12" s="318">
        <f>D12+H12+J12</f>
        <v>917823.78</v>
      </c>
      <c r="L12" s="317">
        <v>1.21</v>
      </c>
      <c r="M12" s="319">
        <f>ROUND(K12*L12,2)</f>
        <v>1110566.77</v>
      </c>
    </row>
    <row r="13" spans="1:13">
      <c r="A13" s="303">
        <v>2</v>
      </c>
      <c r="B13" s="304" t="s">
        <v>55</v>
      </c>
      <c r="C13" s="56" t="s">
        <v>62</v>
      </c>
      <c r="D13" s="29">
        <f>'2.Kārta'!O49</f>
        <v>1212195.3299999998</v>
      </c>
      <c r="E13" s="320"/>
      <c r="F13" s="321"/>
      <c r="G13" s="317">
        <v>0.12</v>
      </c>
      <c r="H13" s="317">
        <f t="shared" ref="H13:H20" si="0">ROUND(D13*G13,2)</f>
        <v>145463.44</v>
      </c>
      <c r="I13" s="317">
        <v>0.05</v>
      </c>
      <c r="J13" s="317">
        <f t="shared" ref="J13:J20" si="1">ROUND(D13*I13,2)</f>
        <v>60609.77</v>
      </c>
      <c r="K13" s="318">
        <f t="shared" ref="K13:K20" si="2">D13+H13+J13</f>
        <v>1418268.5399999998</v>
      </c>
      <c r="L13" s="317">
        <v>1.21</v>
      </c>
      <c r="M13" s="319">
        <f t="shared" ref="M13:M20" si="3">ROUND(K13*L13,2)</f>
        <v>1716104.93</v>
      </c>
    </row>
    <row r="14" spans="1:13">
      <c r="A14" s="303">
        <v>3</v>
      </c>
      <c r="B14" s="304" t="s">
        <v>56</v>
      </c>
      <c r="C14" s="56" t="s">
        <v>63</v>
      </c>
      <c r="D14" s="29">
        <f>'3.Kārta'!O377</f>
        <v>1148493.0230000005</v>
      </c>
      <c r="E14" s="320"/>
      <c r="F14" s="321"/>
      <c r="G14" s="317">
        <v>0.12</v>
      </c>
      <c r="H14" s="317">
        <f t="shared" si="0"/>
        <v>137819.16</v>
      </c>
      <c r="I14" s="317">
        <v>0.05</v>
      </c>
      <c r="J14" s="317">
        <f t="shared" si="1"/>
        <v>57424.65</v>
      </c>
      <c r="K14" s="318">
        <f t="shared" si="2"/>
        <v>1343736.8330000003</v>
      </c>
      <c r="L14" s="317">
        <v>1.21</v>
      </c>
      <c r="M14" s="319">
        <f t="shared" si="3"/>
        <v>1625921.57</v>
      </c>
    </row>
    <row r="15" spans="1:13">
      <c r="A15" s="303">
        <v>4</v>
      </c>
      <c r="B15" s="304" t="s">
        <v>57</v>
      </c>
      <c r="C15" s="56" t="s">
        <v>64</v>
      </c>
      <c r="D15" s="29">
        <f>'4.Kārta'!O40</f>
        <v>816614.88</v>
      </c>
      <c r="E15" s="320"/>
      <c r="F15" s="321"/>
      <c r="G15" s="317">
        <v>0.12</v>
      </c>
      <c r="H15" s="317">
        <f t="shared" si="0"/>
        <v>97993.79</v>
      </c>
      <c r="I15" s="317">
        <v>0.05</v>
      </c>
      <c r="J15" s="317">
        <f t="shared" si="1"/>
        <v>40830.74</v>
      </c>
      <c r="K15" s="318">
        <f t="shared" si="2"/>
        <v>955439.41</v>
      </c>
      <c r="L15" s="317">
        <v>1.21</v>
      </c>
      <c r="M15" s="319">
        <f t="shared" si="3"/>
        <v>1156081.69</v>
      </c>
    </row>
    <row r="16" spans="1:13">
      <c r="A16" s="303">
        <v>5</v>
      </c>
      <c r="B16" s="304" t="s">
        <v>58</v>
      </c>
      <c r="C16" s="56" t="s">
        <v>65</v>
      </c>
      <c r="D16" s="29">
        <f>'5.Kārta'!O25</f>
        <v>333557.40000000002</v>
      </c>
      <c r="E16" s="320"/>
      <c r="F16" s="321"/>
      <c r="G16" s="317">
        <v>0.12</v>
      </c>
      <c r="H16" s="317">
        <f t="shared" si="0"/>
        <v>40026.89</v>
      </c>
      <c r="I16" s="317">
        <v>0.05</v>
      </c>
      <c r="J16" s="317">
        <f t="shared" si="1"/>
        <v>16677.87</v>
      </c>
      <c r="K16" s="318">
        <f t="shared" si="2"/>
        <v>390262.16000000003</v>
      </c>
      <c r="L16" s="317">
        <v>1.21</v>
      </c>
      <c r="M16" s="319">
        <f t="shared" si="3"/>
        <v>472217.21</v>
      </c>
    </row>
    <row r="17" spans="1:252">
      <c r="A17" s="303">
        <v>6</v>
      </c>
      <c r="B17" s="304" t="s">
        <v>59</v>
      </c>
      <c r="C17" s="56" t="s">
        <v>66</v>
      </c>
      <c r="D17" s="29">
        <f>'6.Kārta'!O23</f>
        <v>431622.30000000005</v>
      </c>
      <c r="E17" s="320"/>
      <c r="F17" s="321"/>
      <c r="G17" s="317">
        <v>0.12</v>
      </c>
      <c r="H17" s="317">
        <f t="shared" si="0"/>
        <v>51794.68</v>
      </c>
      <c r="I17" s="317">
        <v>0.05</v>
      </c>
      <c r="J17" s="317">
        <f t="shared" si="1"/>
        <v>21581.119999999999</v>
      </c>
      <c r="K17" s="318">
        <f t="shared" si="2"/>
        <v>504998.10000000003</v>
      </c>
      <c r="L17" s="317">
        <v>1.21</v>
      </c>
      <c r="M17" s="319">
        <f t="shared" si="3"/>
        <v>611047.69999999995</v>
      </c>
    </row>
    <row r="18" spans="1:252">
      <c r="A18" s="303">
        <v>7</v>
      </c>
      <c r="B18" s="304" t="s">
        <v>60</v>
      </c>
      <c r="C18" s="56" t="s">
        <v>67</v>
      </c>
      <c r="D18" s="29">
        <f>'7.Kārta'!O21</f>
        <v>824565.2</v>
      </c>
      <c r="E18" s="320"/>
      <c r="F18" s="321"/>
      <c r="G18" s="317">
        <v>0.12</v>
      </c>
      <c r="H18" s="317">
        <f t="shared" si="0"/>
        <v>98947.82</v>
      </c>
      <c r="I18" s="317">
        <v>0.05</v>
      </c>
      <c r="J18" s="317">
        <f t="shared" si="1"/>
        <v>41228.26</v>
      </c>
      <c r="K18" s="318">
        <f t="shared" si="2"/>
        <v>964741.28</v>
      </c>
      <c r="L18" s="317">
        <v>1.21</v>
      </c>
      <c r="M18" s="319">
        <f t="shared" si="3"/>
        <v>1167336.95</v>
      </c>
    </row>
    <row r="19" spans="1:252">
      <c r="A19" s="303">
        <v>8</v>
      </c>
      <c r="B19" s="305" t="s">
        <v>53</v>
      </c>
      <c r="C19" s="57" t="s">
        <v>49</v>
      </c>
      <c r="D19" s="29">
        <f>'8.Kārta'!O19</f>
        <v>1104198.9099999999</v>
      </c>
      <c r="E19" s="320"/>
      <c r="F19" s="321"/>
      <c r="G19" s="317">
        <v>0.12</v>
      </c>
      <c r="H19" s="317">
        <f t="shared" si="0"/>
        <v>132503.87</v>
      </c>
      <c r="I19" s="317">
        <v>0.05</v>
      </c>
      <c r="J19" s="317">
        <f t="shared" si="1"/>
        <v>55209.95</v>
      </c>
      <c r="K19" s="318">
        <f t="shared" si="2"/>
        <v>1291912.7299999997</v>
      </c>
      <c r="L19" s="317">
        <v>1.21</v>
      </c>
      <c r="M19" s="319">
        <f t="shared" si="3"/>
        <v>1563214.4</v>
      </c>
    </row>
    <row r="20" spans="1:252">
      <c r="A20" s="306"/>
      <c r="B20" s="354" t="s">
        <v>28</v>
      </c>
      <c r="C20" s="355"/>
      <c r="D20" s="307">
        <f>SUM(D12:D19)</f>
        <v>6655711.813000001</v>
      </c>
      <c r="E20" s="320"/>
      <c r="F20" s="321"/>
      <c r="G20" s="317">
        <v>0.12</v>
      </c>
      <c r="H20" s="317">
        <f t="shared" si="0"/>
        <v>798685.42</v>
      </c>
      <c r="I20" s="317">
        <v>0.05</v>
      </c>
      <c r="J20" s="317">
        <f t="shared" si="1"/>
        <v>332785.59000000003</v>
      </c>
      <c r="K20" s="318">
        <f t="shared" si="2"/>
        <v>7787182.8230000008</v>
      </c>
      <c r="L20" s="317">
        <v>1.21</v>
      </c>
      <c r="M20" s="319">
        <f t="shared" si="3"/>
        <v>9422491.2200000007</v>
      </c>
    </row>
    <row r="21" spans="1:252">
      <c r="A21" s="351" t="s">
        <v>36</v>
      </c>
      <c r="B21" s="352"/>
      <c r="C21" s="353"/>
      <c r="D21" s="308">
        <f>ROUND(D20*12%,2)</f>
        <v>798685.42</v>
      </c>
      <c r="E21" s="320"/>
      <c r="F21" s="317"/>
      <c r="G21" s="317"/>
      <c r="H21" s="317"/>
      <c r="I21" s="317"/>
      <c r="J21" s="317"/>
      <c r="K21" s="317"/>
      <c r="L21" s="317"/>
      <c r="M21" s="317"/>
    </row>
    <row r="22" spans="1:252">
      <c r="A22" s="356" t="s">
        <v>29</v>
      </c>
      <c r="B22" s="357"/>
      <c r="C22" s="358"/>
      <c r="D22" s="305">
        <f>ROUND(D21*3%,2)</f>
        <v>23960.560000000001</v>
      </c>
    </row>
    <row r="23" spans="1:252">
      <c r="A23" s="351" t="s">
        <v>35</v>
      </c>
      <c r="B23" s="352"/>
      <c r="C23" s="353"/>
      <c r="D23" s="308">
        <f>ROUND(D20*5%,2)</f>
        <v>332785.59000000003</v>
      </c>
    </row>
    <row r="24" spans="1:252">
      <c r="A24" s="351" t="s">
        <v>30</v>
      </c>
      <c r="B24" s="352"/>
      <c r="C24" s="353"/>
      <c r="D24" s="309">
        <f>D20+D21+D23</f>
        <v>7787182.8230000008</v>
      </c>
      <c r="E24" s="296">
        <v>1.21</v>
      </c>
      <c r="F24" s="297">
        <f>ROUND(D24*E24,2)</f>
        <v>9422491.2200000007</v>
      </c>
    </row>
    <row r="25" spans="1:252">
      <c r="A25" s="1"/>
      <c r="B25" s="1"/>
      <c r="C25" s="1"/>
      <c r="D25" s="310"/>
    </row>
    <row r="26" spans="1:252">
      <c r="A26" s="311" t="s">
        <v>20</v>
      </c>
      <c r="B26" s="312"/>
      <c r="C26" s="311" t="s">
        <v>21</v>
      </c>
      <c r="D26" s="311" t="s">
        <v>22</v>
      </c>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6"/>
      <c r="IP26" s="106"/>
      <c r="IQ26" s="106"/>
      <c r="IR26" s="106"/>
    </row>
    <row r="27" spans="1:252">
      <c r="A27" s="311"/>
      <c r="B27" s="312"/>
      <c r="C27" s="311" t="s">
        <v>23</v>
      </c>
      <c r="D27" s="313">
        <f>KOPĀ!F21</f>
        <v>43733</v>
      </c>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6"/>
      <c r="IP27" s="106"/>
      <c r="IQ27" s="106"/>
      <c r="IR27" s="106"/>
    </row>
    <row r="28" spans="1:252">
      <c r="A28" s="311"/>
      <c r="B28" s="312"/>
      <c r="C28" s="311"/>
      <c r="D28" s="311"/>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6"/>
      <c r="IP28" s="106"/>
      <c r="IQ28" s="106"/>
      <c r="IR28" s="106"/>
    </row>
    <row r="29" spans="1:252">
      <c r="A29" s="311">
        <f>KOPĀ!A25</f>
        <v>0</v>
      </c>
      <c r="B29" s="311"/>
      <c r="C29" s="311"/>
      <c r="D29" s="314"/>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6"/>
      <c r="GM29" s="106"/>
      <c r="GN29" s="106"/>
      <c r="GO29" s="106"/>
      <c r="GP29" s="106"/>
      <c r="GQ29" s="106"/>
      <c r="GR29" s="106"/>
      <c r="GS29" s="106"/>
      <c r="GT29" s="106"/>
      <c r="GU29" s="106"/>
      <c r="GV29" s="106"/>
      <c r="GW29" s="106"/>
      <c r="GX29" s="106"/>
      <c r="GY29" s="106"/>
      <c r="GZ29" s="106"/>
      <c r="HA29" s="106"/>
      <c r="HB29" s="106"/>
      <c r="HC29" s="106"/>
      <c r="HD29" s="106"/>
      <c r="HE29" s="106"/>
      <c r="HF29" s="106"/>
      <c r="HG29" s="106"/>
      <c r="HH29" s="106"/>
      <c r="HI29" s="106"/>
      <c r="HJ29" s="106"/>
      <c r="HK29" s="106"/>
      <c r="HL29" s="106"/>
      <c r="HM29" s="106"/>
      <c r="HN29" s="106"/>
      <c r="HO29" s="106"/>
      <c r="HP29" s="106"/>
      <c r="HQ29" s="106"/>
      <c r="HR29" s="106"/>
      <c r="HS29" s="106"/>
      <c r="HT29" s="106"/>
      <c r="HU29" s="106"/>
      <c r="HV29" s="106"/>
      <c r="HW29" s="106"/>
      <c r="HX29" s="106"/>
      <c r="HY29" s="106"/>
      <c r="HZ29" s="106"/>
      <c r="IA29" s="106"/>
      <c r="IB29" s="106"/>
      <c r="IC29" s="106"/>
      <c r="ID29" s="106"/>
      <c r="IE29" s="106"/>
      <c r="IF29" s="106"/>
      <c r="IG29" s="106"/>
      <c r="IH29" s="106"/>
      <c r="II29" s="106"/>
      <c r="IJ29" s="106"/>
      <c r="IK29" s="106"/>
      <c r="IL29" s="106"/>
      <c r="IM29" s="106"/>
      <c r="IN29" s="106"/>
      <c r="IO29" s="106"/>
      <c r="IP29" s="106"/>
      <c r="IQ29" s="106"/>
      <c r="IR29" s="106"/>
    </row>
    <row r="30" spans="1:252">
      <c r="A30" s="311"/>
      <c r="B30" s="311"/>
      <c r="C30" s="311"/>
      <c r="D30" s="10"/>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c r="FO30" s="106"/>
      <c r="FP30" s="106"/>
      <c r="FQ30" s="106"/>
      <c r="FR30" s="106"/>
      <c r="FS30" s="106"/>
      <c r="FT30" s="106"/>
      <c r="FU30" s="106"/>
      <c r="FV30" s="106"/>
      <c r="FW30" s="106"/>
      <c r="FX30" s="106"/>
      <c r="FY30" s="106"/>
      <c r="FZ30" s="106"/>
      <c r="GA30" s="106"/>
      <c r="GB30" s="106"/>
      <c r="GC30" s="106"/>
      <c r="GD30" s="106"/>
      <c r="GE30" s="106"/>
      <c r="GF30" s="106"/>
      <c r="GG30" s="106"/>
      <c r="GH30" s="106"/>
      <c r="GI30" s="106"/>
      <c r="GJ30" s="106"/>
      <c r="GK30" s="106"/>
      <c r="GL30" s="106"/>
      <c r="GM30" s="106"/>
      <c r="GN30" s="106"/>
      <c r="GO30" s="106"/>
      <c r="GP30" s="106"/>
      <c r="GQ30" s="106"/>
      <c r="GR30" s="106"/>
      <c r="GS30" s="106"/>
      <c r="GT30" s="106"/>
      <c r="GU30" s="106"/>
      <c r="GV30" s="106"/>
      <c r="GW30" s="106"/>
      <c r="GX30" s="106"/>
      <c r="GY30" s="106"/>
      <c r="GZ30" s="106"/>
      <c r="HA30" s="106"/>
      <c r="HB30" s="106"/>
      <c r="HC30" s="106"/>
      <c r="HD30" s="106"/>
      <c r="HE30" s="106"/>
      <c r="HF30" s="106"/>
      <c r="HG30" s="106"/>
      <c r="HH30" s="106"/>
      <c r="HI30" s="106"/>
      <c r="HJ30" s="106"/>
      <c r="HK30" s="106"/>
      <c r="HL30" s="106"/>
      <c r="HM30" s="106"/>
      <c r="HN30" s="106"/>
      <c r="HO30" s="106"/>
      <c r="HP30" s="106"/>
      <c r="HQ30" s="106"/>
      <c r="HR30" s="106"/>
      <c r="HS30" s="106"/>
      <c r="HT30" s="106"/>
      <c r="HU30" s="106"/>
      <c r="HV30" s="106"/>
      <c r="HW30" s="106"/>
      <c r="HX30" s="106"/>
      <c r="HY30" s="106"/>
      <c r="HZ30" s="106"/>
      <c r="IA30" s="106"/>
      <c r="IB30" s="106"/>
      <c r="IC30" s="106"/>
      <c r="ID30" s="106"/>
      <c r="IE30" s="106"/>
      <c r="IF30" s="106"/>
      <c r="IG30" s="106"/>
      <c r="IH30" s="106"/>
      <c r="II30" s="106"/>
      <c r="IJ30" s="106"/>
      <c r="IK30" s="106"/>
      <c r="IL30" s="106"/>
      <c r="IM30" s="106"/>
      <c r="IN30" s="106"/>
      <c r="IO30" s="106"/>
      <c r="IP30" s="106"/>
      <c r="IQ30" s="106"/>
      <c r="IR30" s="106"/>
    </row>
    <row r="31" spans="1:252">
      <c r="A31" s="311" t="s">
        <v>24</v>
      </c>
      <c r="B31" s="315"/>
      <c r="C31" s="315" t="s">
        <v>21</v>
      </c>
      <c r="D31" s="316" t="s">
        <v>25</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c r="GM31" s="106"/>
      <c r="GN31" s="106"/>
      <c r="GO31" s="106"/>
      <c r="GP31" s="106"/>
      <c r="GQ31" s="106"/>
      <c r="GR31" s="106"/>
      <c r="GS31" s="106"/>
      <c r="GT31" s="106"/>
      <c r="GU31" s="106"/>
      <c r="GV31" s="106"/>
      <c r="GW31" s="106"/>
      <c r="GX31" s="106"/>
      <c r="GY31" s="106"/>
      <c r="GZ31" s="106"/>
      <c r="HA31" s="106"/>
      <c r="HB31" s="106"/>
      <c r="HC31" s="106"/>
      <c r="HD31" s="106"/>
      <c r="HE31" s="106"/>
      <c r="HF31" s="106"/>
      <c r="HG31" s="106"/>
      <c r="HH31" s="106"/>
      <c r="HI31" s="106"/>
      <c r="HJ31" s="106"/>
      <c r="HK31" s="106"/>
      <c r="HL31" s="106"/>
      <c r="HM31" s="106"/>
      <c r="HN31" s="106"/>
      <c r="HO31" s="106"/>
      <c r="HP31" s="106"/>
      <c r="HQ31" s="106"/>
      <c r="HR31" s="106"/>
      <c r="HS31" s="106"/>
      <c r="HT31" s="106"/>
      <c r="HU31" s="106"/>
      <c r="HV31" s="106"/>
      <c r="HW31" s="106"/>
      <c r="HX31" s="106"/>
      <c r="HY31" s="106"/>
      <c r="HZ31" s="106"/>
      <c r="IA31" s="106"/>
      <c r="IB31" s="106"/>
      <c r="IC31" s="106"/>
      <c r="ID31" s="106"/>
      <c r="IE31" s="106"/>
      <c r="IF31" s="106"/>
      <c r="IG31" s="106"/>
      <c r="IH31" s="106"/>
      <c r="II31" s="106"/>
      <c r="IJ31" s="106"/>
      <c r="IK31" s="106"/>
      <c r="IL31" s="106"/>
      <c r="IM31" s="106"/>
      <c r="IN31" s="106"/>
      <c r="IO31" s="106"/>
      <c r="IP31" s="106"/>
      <c r="IQ31" s="106"/>
      <c r="IR31" s="106"/>
    </row>
    <row r="32" spans="1:252">
      <c r="A32" s="311"/>
      <c r="B32" s="312"/>
      <c r="C32" s="311" t="s">
        <v>23</v>
      </c>
      <c r="D32" s="313">
        <f>KOPĀ!F21</f>
        <v>43733</v>
      </c>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c r="FG32" s="106"/>
      <c r="FH32" s="106"/>
      <c r="FI32" s="106"/>
      <c r="FJ32" s="106"/>
      <c r="FK32" s="106"/>
      <c r="FL32" s="106"/>
      <c r="FM32" s="106"/>
      <c r="FN32" s="106"/>
      <c r="FO32" s="106"/>
      <c r="FP32" s="106"/>
      <c r="FQ32" s="106"/>
      <c r="FR32" s="106"/>
      <c r="FS32" s="106"/>
      <c r="FT32" s="106"/>
      <c r="FU32" s="106"/>
      <c r="FV32" s="106"/>
      <c r="FW32" s="106"/>
      <c r="FX32" s="106"/>
      <c r="FY32" s="106"/>
      <c r="FZ32" s="106"/>
      <c r="GA32" s="106"/>
      <c r="GB32" s="106"/>
      <c r="GC32" s="106"/>
      <c r="GD32" s="106"/>
      <c r="GE32" s="106"/>
      <c r="GF32" s="106"/>
      <c r="GG32" s="106"/>
      <c r="GH32" s="106"/>
      <c r="GI32" s="106"/>
      <c r="GJ32" s="106"/>
      <c r="GK32" s="106"/>
      <c r="GL32" s="106"/>
      <c r="GM32" s="106"/>
      <c r="GN32" s="106"/>
      <c r="GO32" s="106"/>
      <c r="GP32" s="106"/>
      <c r="GQ32" s="106"/>
      <c r="GR32" s="106"/>
      <c r="GS32" s="106"/>
      <c r="GT32" s="106"/>
      <c r="GU32" s="106"/>
      <c r="GV32" s="106"/>
      <c r="GW32" s="106"/>
      <c r="GX32" s="106"/>
      <c r="GY32" s="106"/>
      <c r="GZ32" s="106"/>
      <c r="HA32" s="106"/>
      <c r="HB32" s="106"/>
      <c r="HC32" s="106"/>
      <c r="HD32" s="106"/>
      <c r="HE32" s="106"/>
      <c r="HF32" s="106"/>
      <c r="HG32" s="106"/>
      <c r="HH32" s="106"/>
      <c r="HI32" s="106"/>
      <c r="HJ32" s="106"/>
      <c r="HK32" s="106"/>
      <c r="HL32" s="106"/>
      <c r="HM32" s="106"/>
      <c r="HN32" s="106"/>
      <c r="HO32" s="106"/>
      <c r="HP32" s="106"/>
      <c r="HQ32" s="106"/>
      <c r="HR32" s="106"/>
      <c r="HS32" s="106"/>
      <c r="HT32" s="106"/>
      <c r="HU32" s="106"/>
      <c r="HV32" s="106"/>
      <c r="HW32" s="106"/>
      <c r="HX32" s="106"/>
      <c r="HY32" s="106"/>
      <c r="HZ32" s="106"/>
      <c r="IA32" s="106"/>
      <c r="IB32" s="106"/>
      <c r="IC32" s="106"/>
      <c r="ID32" s="106"/>
      <c r="IE32" s="106"/>
      <c r="IF32" s="106"/>
      <c r="IG32" s="106"/>
      <c r="IH32" s="106"/>
      <c r="II32" s="106"/>
      <c r="IJ32" s="106"/>
      <c r="IK32" s="106"/>
      <c r="IL32" s="106"/>
      <c r="IM32" s="106"/>
      <c r="IN32" s="106"/>
      <c r="IO32" s="106"/>
      <c r="IP32" s="106"/>
      <c r="IQ32" s="106"/>
      <c r="IR32" s="106"/>
    </row>
    <row r="33" spans="1:252">
      <c r="A33" s="311"/>
      <c r="B33" s="311"/>
      <c r="C33" s="311"/>
      <c r="D33" s="311"/>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c r="FG33" s="106"/>
      <c r="FH33" s="106"/>
      <c r="FI33" s="106"/>
      <c r="FJ33" s="106"/>
      <c r="FK33" s="106"/>
      <c r="FL33" s="106"/>
      <c r="FM33" s="106"/>
      <c r="FN33" s="106"/>
      <c r="FO33" s="106"/>
      <c r="FP33" s="106"/>
      <c r="FQ33" s="106"/>
      <c r="FR33" s="106"/>
      <c r="FS33" s="106"/>
      <c r="FT33" s="106"/>
      <c r="FU33" s="106"/>
      <c r="FV33" s="106"/>
      <c r="FW33" s="106"/>
      <c r="FX33" s="106"/>
      <c r="FY33" s="106"/>
      <c r="FZ33" s="106"/>
      <c r="GA33" s="106"/>
      <c r="GB33" s="106"/>
      <c r="GC33" s="106"/>
      <c r="GD33" s="106"/>
      <c r="GE33" s="106"/>
      <c r="GF33" s="106"/>
      <c r="GG33" s="106"/>
      <c r="GH33" s="106"/>
      <c r="GI33" s="106"/>
      <c r="GJ33" s="106"/>
      <c r="GK33" s="106"/>
      <c r="GL33" s="106"/>
      <c r="GM33" s="106"/>
      <c r="GN33" s="106"/>
      <c r="GO33" s="106"/>
      <c r="GP33" s="106"/>
      <c r="GQ33" s="106"/>
      <c r="GR33" s="106"/>
      <c r="GS33" s="106"/>
      <c r="GT33" s="106"/>
      <c r="GU33" s="106"/>
      <c r="GV33" s="106"/>
      <c r="GW33" s="106"/>
      <c r="GX33" s="106"/>
      <c r="GY33" s="106"/>
      <c r="GZ33" s="106"/>
      <c r="HA33" s="106"/>
      <c r="HB33" s="106"/>
      <c r="HC33" s="106"/>
      <c r="HD33" s="106"/>
      <c r="HE33" s="106"/>
      <c r="HF33" s="106"/>
      <c r="HG33" s="106"/>
      <c r="HH33" s="106"/>
      <c r="HI33" s="106"/>
      <c r="HJ33" s="106"/>
      <c r="HK33" s="106"/>
      <c r="HL33" s="106"/>
      <c r="HM33" s="106"/>
      <c r="HN33" s="106"/>
      <c r="HO33" s="106"/>
      <c r="HP33" s="106"/>
      <c r="HQ33" s="106"/>
      <c r="HR33" s="106"/>
      <c r="HS33" s="106"/>
      <c r="HT33" s="106"/>
      <c r="HU33" s="106"/>
      <c r="HV33" s="106"/>
      <c r="HW33" s="106"/>
      <c r="HX33" s="106"/>
      <c r="HY33" s="106"/>
      <c r="HZ33" s="106"/>
      <c r="IA33" s="106"/>
      <c r="IB33" s="106"/>
      <c r="IC33" s="106"/>
      <c r="ID33" s="106"/>
      <c r="IE33" s="106"/>
      <c r="IF33" s="106"/>
      <c r="IG33" s="106"/>
      <c r="IH33" s="106"/>
      <c r="II33" s="106"/>
      <c r="IJ33" s="106"/>
      <c r="IK33" s="106"/>
      <c r="IL33" s="106"/>
      <c r="IM33" s="106"/>
      <c r="IN33" s="106"/>
      <c r="IO33" s="106"/>
      <c r="IP33" s="106"/>
      <c r="IQ33" s="106"/>
      <c r="IR33" s="106"/>
    </row>
  </sheetData>
  <mergeCells count="23">
    <mergeCell ref="J8:J11"/>
    <mergeCell ref="K8:K11"/>
    <mergeCell ref="M8:M11"/>
    <mergeCell ref="A24:C24"/>
    <mergeCell ref="B20:C20"/>
    <mergeCell ref="A21:C21"/>
    <mergeCell ref="A22:C22"/>
    <mergeCell ref="A23:C23"/>
    <mergeCell ref="L8:L11"/>
    <mergeCell ref="I8:I11"/>
    <mergeCell ref="E8:E11"/>
    <mergeCell ref="F8:F11"/>
    <mergeCell ref="G8:G11"/>
    <mergeCell ref="A8:A11"/>
    <mergeCell ref="B8:B11"/>
    <mergeCell ref="C8:C11"/>
    <mergeCell ref="D8:D11"/>
    <mergeCell ref="H8:H11"/>
    <mergeCell ref="A5:B5"/>
    <mergeCell ref="A1:D1"/>
    <mergeCell ref="A3:B3"/>
    <mergeCell ref="A4:B4"/>
    <mergeCell ref="A6:D6"/>
  </mergeCells>
  <phoneticPr fontId="82" type="noConversion"/>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dimension ref="A1:V110"/>
  <sheetViews>
    <sheetView topLeftCell="A79" zoomScale="50" zoomScaleNormal="50" workbookViewId="0">
      <selection activeCell="D102" sqref="D102"/>
    </sheetView>
  </sheetViews>
  <sheetFormatPr defaultColWidth="9.140625" defaultRowHeight="15.75"/>
  <cols>
    <col min="1" max="1" width="5.7109375" style="119" customWidth="1"/>
    <col min="2" max="2" width="34.85546875" style="109" customWidth="1"/>
    <col min="3" max="3" width="6.28515625" style="108" customWidth="1"/>
    <col min="4" max="4" width="11.42578125" style="108" customWidth="1"/>
    <col min="5" max="5" width="8.7109375" style="120" customWidth="1"/>
    <col min="6" max="6" width="8.7109375" style="109" customWidth="1"/>
    <col min="7" max="7" width="11.85546875" style="109" customWidth="1"/>
    <col min="8" max="8" width="10.7109375" style="109" customWidth="1"/>
    <col min="9" max="9" width="7.28515625" style="109" customWidth="1"/>
    <col min="10" max="10" width="10.5703125" style="109" customWidth="1"/>
    <col min="11" max="11" width="11.28515625" style="109" customWidth="1"/>
    <col min="12" max="12" width="12.140625" style="109" customWidth="1"/>
    <col min="13" max="13" width="13.140625" style="109" customWidth="1"/>
    <col min="14" max="14" width="12.140625" style="109" customWidth="1"/>
    <col min="15" max="15" width="12" style="109" customWidth="1"/>
    <col min="16" max="16" width="9.140625" style="109"/>
    <col min="17" max="17" width="14" style="109" customWidth="1"/>
    <col min="18" max="18" width="9.140625" style="109"/>
    <col min="19" max="19" width="10.7109375" style="109" customWidth="1"/>
    <col min="20" max="20" width="11.85546875" style="109" customWidth="1"/>
    <col min="21" max="21" width="9.140625" style="109"/>
    <col min="22" max="22" width="11.85546875" style="109" customWidth="1"/>
    <col min="23" max="16384" width="9.140625" style="109"/>
  </cols>
  <sheetData>
    <row r="1" spans="1:22" s="107" customFormat="1" ht="16.5" thickBot="1">
      <c r="A1" s="374" t="s">
        <v>61</v>
      </c>
      <c r="B1" s="374"/>
      <c r="C1" s="374"/>
      <c r="D1" s="374"/>
      <c r="E1" s="374"/>
      <c r="F1" s="374"/>
      <c r="G1" s="374"/>
      <c r="H1" s="374"/>
      <c r="I1" s="374"/>
      <c r="J1" s="374"/>
      <c r="K1" s="374"/>
      <c r="L1" s="374"/>
      <c r="M1" s="374"/>
      <c r="N1" s="374"/>
      <c r="O1" s="121"/>
    </row>
    <row r="2" spans="1:22" s="107" customFormat="1" ht="16.5" thickTop="1">
      <c r="A2" s="375" t="s">
        <v>45</v>
      </c>
      <c r="B2" s="375"/>
      <c r="C2" s="375"/>
      <c r="D2" s="375"/>
      <c r="E2" s="375"/>
      <c r="F2" s="375"/>
      <c r="G2" s="375"/>
      <c r="H2" s="375"/>
      <c r="I2" s="375"/>
      <c r="J2" s="375"/>
      <c r="K2" s="375"/>
      <c r="L2" s="375"/>
      <c r="M2" s="375"/>
      <c r="N2" s="375"/>
      <c r="O2" s="121"/>
    </row>
    <row r="3" spans="1:22">
      <c r="A3" s="122"/>
      <c r="B3" s="123"/>
      <c r="C3" s="123"/>
      <c r="D3" s="123"/>
      <c r="E3" s="31"/>
      <c r="F3" s="31"/>
      <c r="G3" s="31"/>
      <c r="H3" s="31"/>
      <c r="I3" s="31"/>
      <c r="J3" s="31"/>
      <c r="K3" s="31"/>
      <c r="L3" s="31"/>
      <c r="M3" s="31"/>
      <c r="N3" s="31"/>
      <c r="O3" s="31"/>
    </row>
    <row r="4" spans="1:22">
      <c r="A4" s="376" t="s">
        <v>4</v>
      </c>
      <c r="B4" s="376"/>
      <c r="C4" s="371" t="s">
        <v>40</v>
      </c>
      <c r="D4" s="371"/>
      <c r="E4" s="371"/>
      <c r="F4" s="371"/>
      <c r="G4" s="371"/>
      <c r="H4" s="371"/>
      <c r="I4" s="371"/>
      <c r="J4" s="371"/>
      <c r="K4" s="371"/>
      <c r="L4" s="371"/>
      <c r="M4" s="31"/>
      <c r="N4" s="31"/>
      <c r="O4" s="31"/>
    </row>
    <row r="5" spans="1:22">
      <c r="A5" s="376" t="s">
        <v>5</v>
      </c>
      <c r="B5" s="376"/>
      <c r="C5" s="371" t="s">
        <v>41</v>
      </c>
      <c r="D5" s="371"/>
      <c r="E5" s="371"/>
      <c r="F5" s="371"/>
      <c r="G5" s="371"/>
      <c r="H5" s="371"/>
      <c r="I5" s="371"/>
      <c r="J5" s="371"/>
      <c r="K5" s="371"/>
      <c r="L5" s="371"/>
      <c r="M5" s="31"/>
      <c r="N5" s="31"/>
      <c r="O5" s="31"/>
    </row>
    <row r="6" spans="1:22">
      <c r="A6" s="371"/>
      <c r="B6" s="371"/>
      <c r="C6" s="371"/>
      <c r="D6" s="371"/>
      <c r="E6" s="371"/>
      <c r="F6" s="371"/>
      <c r="G6" s="371"/>
      <c r="H6" s="371"/>
      <c r="I6" s="371"/>
      <c r="J6" s="371"/>
      <c r="K6" s="371"/>
      <c r="L6" s="371"/>
      <c r="M6" s="31"/>
      <c r="N6" s="31"/>
      <c r="O6" s="31"/>
    </row>
    <row r="7" spans="1:22" s="107" customFormat="1">
      <c r="A7" s="121"/>
      <c r="B7" s="124"/>
      <c r="C7" s="124"/>
      <c r="D7" s="124"/>
      <c r="E7" s="121"/>
      <c r="F7" s="121"/>
      <c r="G7" s="121"/>
      <c r="H7" s="121"/>
      <c r="I7" s="121"/>
      <c r="J7" s="121"/>
      <c r="K7" s="125" t="s">
        <v>6</v>
      </c>
      <c r="L7" s="126">
        <f>O99</f>
        <v>784464.77</v>
      </c>
      <c r="M7" s="127" t="s">
        <v>7</v>
      </c>
      <c r="N7" s="121"/>
      <c r="O7" s="121"/>
    </row>
    <row r="8" spans="1:22" s="107" customFormat="1">
      <c r="A8" s="121"/>
      <c r="B8" s="124"/>
      <c r="C8" s="124"/>
      <c r="D8" s="124"/>
      <c r="E8" s="121"/>
      <c r="F8" s="121"/>
      <c r="G8" s="121"/>
      <c r="H8" s="121"/>
      <c r="I8" s="121"/>
      <c r="J8" s="121"/>
      <c r="K8" s="125"/>
      <c r="L8" s="121"/>
      <c r="M8" s="127"/>
      <c r="N8" s="121"/>
      <c r="O8" s="121"/>
    </row>
    <row r="9" spans="1:22" ht="12.75" customHeight="1">
      <c r="A9" s="372" t="s">
        <v>8</v>
      </c>
      <c r="B9" s="373" t="s">
        <v>1</v>
      </c>
      <c r="C9" s="372" t="s">
        <v>2</v>
      </c>
      <c r="D9" s="372" t="s">
        <v>3</v>
      </c>
      <c r="E9" s="373" t="s">
        <v>9</v>
      </c>
      <c r="F9" s="373"/>
      <c r="G9" s="373"/>
      <c r="H9" s="373"/>
      <c r="I9" s="373"/>
      <c r="J9" s="373"/>
      <c r="K9" s="373" t="s">
        <v>10</v>
      </c>
      <c r="L9" s="373"/>
      <c r="M9" s="373"/>
      <c r="N9" s="373"/>
      <c r="O9" s="373"/>
    </row>
    <row r="10" spans="1:22" ht="83.25" thickBot="1">
      <c r="A10" s="372"/>
      <c r="B10" s="373"/>
      <c r="C10" s="372"/>
      <c r="D10" s="372"/>
      <c r="E10" s="58" t="s">
        <v>11</v>
      </c>
      <c r="F10" s="105" t="s">
        <v>12</v>
      </c>
      <c r="G10" s="105" t="s">
        <v>17</v>
      </c>
      <c r="H10" s="105" t="s">
        <v>13</v>
      </c>
      <c r="I10" s="105" t="s">
        <v>14</v>
      </c>
      <c r="J10" s="105" t="s">
        <v>15</v>
      </c>
      <c r="K10" s="105" t="s">
        <v>16</v>
      </c>
      <c r="L10" s="105" t="s">
        <v>17</v>
      </c>
      <c r="M10" s="105" t="s">
        <v>13</v>
      </c>
      <c r="N10" s="105" t="s">
        <v>14</v>
      </c>
      <c r="O10" s="105" t="s">
        <v>18</v>
      </c>
      <c r="P10" s="206"/>
      <c r="Q10" s="201" t="s">
        <v>470</v>
      </c>
      <c r="R10" s="200"/>
      <c r="S10" s="201" t="s">
        <v>469</v>
      </c>
      <c r="T10" s="202" t="s">
        <v>471</v>
      </c>
      <c r="U10" s="200"/>
      <c r="V10" s="201" t="s">
        <v>28</v>
      </c>
    </row>
    <row r="11" spans="1:22" ht="16.5" thickTop="1">
      <c r="A11" s="59"/>
      <c r="B11" s="60" t="s">
        <v>68</v>
      </c>
      <c r="C11" s="61"/>
      <c r="D11" s="62"/>
      <c r="E11" s="63"/>
      <c r="F11" s="63"/>
      <c r="G11" s="64"/>
      <c r="H11" s="63"/>
      <c r="I11" s="65"/>
      <c r="J11" s="66"/>
      <c r="K11" s="67"/>
      <c r="L11" s="65"/>
      <c r="M11" s="65"/>
      <c r="N11" s="65"/>
      <c r="O11" s="30"/>
      <c r="P11" s="199"/>
      <c r="Q11" s="203"/>
      <c r="R11" s="203"/>
      <c r="S11" s="203"/>
      <c r="T11" s="203"/>
      <c r="U11" s="203"/>
      <c r="V11" s="203"/>
    </row>
    <row r="12" spans="1:22" ht="31.5">
      <c r="A12" s="133" t="s">
        <v>39</v>
      </c>
      <c r="B12" s="134" t="s">
        <v>69</v>
      </c>
      <c r="C12" s="135" t="s">
        <v>70</v>
      </c>
      <c r="D12" s="136">
        <v>1</v>
      </c>
      <c r="E12" s="128">
        <v>5</v>
      </c>
      <c r="F12" s="128">
        <v>10</v>
      </c>
      <c r="G12" s="129">
        <f>ROUND(E12*F12,2)</f>
        <v>50</v>
      </c>
      <c r="H12" s="128">
        <v>0</v>
      </c>
      <c r="I12" s="130">
        <v>5</v>
      </c>
      <c r="J12" s="131">
        <f>SUM(G12:I12)</f>
        <v>55</v>
      </c>
      <c r="K12" s="132">
        <f t="shared" ref="K12:K51" si="0">ROUND(D12*E12,2)</f>
        <v>5</v>
      </c>
      <c r="L12" s="130">
        <f>ROUND(D12*G12,2)</f>
        <v>50</v>
      </c>
      <c r="M12" s="130">
        <f>ROUND(D12*H12,2)</f>
        <v>0</v>
      </c>
      <c r="N12" s="130">
        <f>ROUND(D12*I12,2)</f>
        <v>5</v>
      </c>
      <c r="O12" s="28">
        <f>SUM(L12:N12)</f>
        <v>55</v>
      </c>
      <c r="P12" s="199"/>
      <c r="Q12" s="203"/>
      <c r="R12" s="203"/>
      <c r="S12" s="203"/>
      <c r="T12" s="203"/>
      <c r="U12" s="203"/>
      <c r="V12" s="204"/>
    </row>
    <row r="13" spans="1:22" ht="31.5">
      <c r="A13" s="133" t="s">
        <v>71</v>
      </c>
      <c r="B13" s="134" t="s">
        <v>72</v>
      </c>
      <c r="C13" s="135" t="s">
        <v>73</v>
      </c>
      <c r="D13" s="136">
        <v>148.5</v>
      </c>
      <c r="E13" s="128">
        <v>2</v>
      </c>
      <c r="F13" s="128">
        <v>10</v>
      </c>
      <c r="G13" s="129">
        <f t="shared" ref="G13:G74" si="1">ROUND(E13*F13,2)</f>
        <v>20</v>
      </c>
      <c r="H13" s="128">
        <v>0</v>
      </c>
      <c r="I13" s="130">
        <v>2.5</v>
      </c>
      <c r="J13" s="131">
        <f t="shared" ref="J13:J72" si="2">SUM(G13:I13)</f>
        <v>22.5</v>
      </c>
      <c r="K13" s="132">
        <f t="shared" si="0"/>
        <v>297</v>
      </c>
      <c r="L13" s="130">
        <f t="shared" ref="L13:L74" si="3">ROUND(D13*G13,2)</f>
        <v>2970</v>
      </c>
      <c r="M13" s="130">
        <f t="shared" ref="M13:M74" si="4">ROUND(D13*H13,2)</f>
        <v>0</v>
      </c>
      <c r="N13" s="130">
        <f t="shared" ref="N13:N74" si="5">ROUND(D13*I13,2)</f>
        <v>371.25</v>
      </c>
      <c r="O13" s="28">
        <f t="shared" ref="O13:O74" si="6">SUM(L13:N13)</f>
        <v>3341.25</v>
      </c>
      <c r="P13" s="199"/>
      <c r="Q13" s="203"/>
      <c r="R13" s="203"/>
      <c r="S13" s="203"/>
      <c r="T13" s="203"/>
      <c r="U13" s="203"/>
      <c r="V13" s="204"/>
    </row>
    <row r="14" spans="1:22" ht="31.5">
      <c r="A14" s="133" t="s">
        <v>74</v>
      </c>
      <c r="B14" s="134" t="s">
        <v>75</v>
      </c>
      <c r="C14" s="135" t="s">
        <v>76</v>
      </c>
      <c r="D14" s="136">
        <v>198</v>
      </c>
      <c r="E14" s="128">
        <v>0.5</v>
      </c>
      <c r="F14" s="128">
        <v>10</v>
      </c>
      <c r="G14" s="129">
        <f t="shared" si="1"/>
        <v>5</v>
      </c>
      <c r="H14" s="128">
        <v>7.42</v>
      </c>
      <c r="I14" s="130">
        <v>0.5</v>
      </c>
      <c r="J14" s="131">
        <f t="shared" si="2"/>
        <v>12.92</v>
      </c>
      <c r="K14" s="132">
        <f t="shared" si="0"/>
        <v>99</v>
      </c>
      <c r="L14" s="130">
        <f t="shared" si="3"/>
        <v>990</v>
      </c>
      <c r="M14" s="130">
        <f t="shared" si="4"/>
        <v>1469.16</v>
      </c>
      <c r="N14" s="130">
        <f t="shared" si="5"/>
        <v>99</v>
      </c>
      <c r="O14" s="28">
        <f t="shared" si="6"/>
        <v>2558.16</v>
      </c>
      <c r="P14" s="199"/>
      <c r="Q14" s="203"/>
      <c r="R14" s="203"/>
      <c r="S14" s="203"/>
      <c r="T14" s="203"/>
      <c r="U14" s="203"/>
      <c r="V14" s="204"/>
    </row>
    <row r="15" spans="1:22" ht="31.5">
      <c r="A15" s="133" t="s">
        <v>77</v>
      </c>
      <c r="B15" s="134" t="s">
        <v>78</v>
      </c>
      <c r="C15" s="135" t="s">
        <v>76</v>
      </c>
      <c r="D15" s="136">
        <v>102</v>
      </c>
      <c r="E15" s="128">
        <v>1</v>
      </c>
      <c r="F15" s="128">
        <v>10</v>
      </c>
      <c r="G15" s="129">
        <f t="shared" si="1"/>
        <v>10</v>
      </c>
      <c r="H15" s="128">
        <v>2.4500000000000002</v>
      </c>
      <c r="I15" s="130">
        <v>1</v>
      </c>
      <c r="J15" s="131">
        <f t="shared" si="2"/>
        <v>13.45</v>
      </c>
      <c r="K15" s="132">
        <f t="shared" si="0"/>
        <v>102</v>
      </c>
      <c r="L15" s="130">
        <f t="shared" si="3"/>
        <v>1020</v>
      </c>
      <c r="M15" s="130">
        <f t="shared" si="4"/>
        <v>249.9</v>
      </c>
      <c r="N15" s="130">
        <f t="shared" si="5"/>
        <v>102</v>
      </c>
      <c r="O15" s="28">
        <f t="shared" si="6"/>
        <v>1371.9</v>
      </c>
      <c r="P15" s="199"/>
      <c r="Q15" s="203"/>
      <c r="R15" s="203"/>
      <c r="S15" s="203"/>
      <c r="T15" s="203"/>
      <c r="U15" s="203"/>
      <c r="V15" s="204"/>
    </row>
    <row r="16" spans="1:22" ht="47.25">
      <c r="A16" s="133" t="s">
        <v>79</v>
      </c>
      <c r="B16" s="134" t="s">
        <v>80</v>
      </c>
      <c r="C16" s="135" t="s">
        <v>81</v>
      </c>
      <c r="D16" s="136">
        <v>495</v>
      </c>
      <c r="E16" s="128">
        <v>0.7</v>
      </c>
      <c r="F16" s="128">
        <v>10</v>
      </c>
      <c r="G16" s="129">
        <f t="shared" si="1"/>
        <v>7</v>
      </c>
      <c r="H16" s="128">
        <v>0</v>
      </c>
      <c r="I16" s="130">
        <v>3</v>
      </c>
      <c r="J16" s="131">
        <f t="shared" si="2"/>
        <v>10</v>
      </c>
      <c r="K16" s="132">
        <f t="shared" si="0"/>
        <v>346.5</v>
      </c>
      <c r="L16" s="130">
        <f t="shared" si="3"/>
        <v>3465</v>
      </c>
      <c r="M16" s="130">
        <f t="shared" si="4"/>
        <v>0</v>
      </c>
      <c r="N16" s="130">
        <f t="shared" si="5"/>
        <v>1485</v>
      </c>
      <c r="O16" s="28">
        <f t="shared" si="6"/>
        <v>4950</v>
      </c>
      <c r="P16" s="199"/>
      <c r="Q16" s="203"/>
      <c r="R16" s="203"/>
      <c r="S16" s="203"/>
      <c r="T16" s="203"/>
      <c r="U16" s="203"/>
      <c r="V16" s="204"/>
    </row>
    <row r="17" spans="1:22" ht="31.5">
      <c r="A17" s="133" t="s">
        <v>82</v>
      </c>
      <c r="B17" s="134" t="s">
        <v>83</v>
      </c>
      <c r="C17" s="135" t="s">
        <v>84</v>
      </c>
      <c r="D17" s="136">
        <v>99</v>
      </c>
      <c r="E17" s="128">
        <v>1.1000000000000001</v>
      </c>
      <c r="F17" s="128">
        <v>10</v>
      </c>
      <c r="G17" s="129">
        <v>19</v>
      </c>
      <c r="H17" s="128">
        <v>25</v>
      </c>
      <c r="I17" s="130">
        <v>1</v>
      </c>
      <c r="J17" s="131">
        <f t="shared" si="2"/>
        <v>45</v>
      </c>
      <c r="K17" s="132">
        <f t="shared" si="0"/>
        <v>108.9</v>
      </c>
      <c r="L17" s="130">
        <f t="shared" si="3"/>
        <v>1881</v>
      </c>
      <c r="M17" s="130">
        <f t="shared" si="4"/>
        <v>2475</v>
      </c>
      <c r="N17" s="130">
        <f t="shared" si="5"/>
        <v>99</v>
      </c>
      <c r="O17" s="28">
        <f t="shared" si="6"/>
        <v>4455</v>
      </c>
      <c r="P17" s="199"/>
      <c r="Q17" s="203"/>
      <c r="R17" s="203"/>
      <c r="S17" s="203"/>
      <c r="T17" s="203"/>
      <c r="U17" s="203"/>
      <c r="V17" s="204"/>
    </row>
    <row r="18" spans="1:22" ht="47.25">
      <c r="A18" s="133" t="s">
        <v>85</v>
      </c>
      <c r="B18" s="134" t="s">
        <v>86</v>
      </c>
      <c r="C18" s="135" t="s">
        <v>81</v>
      </c>
      <c r="D18" s="136">
        <v>542</v>
      </c>
      <c r="E18" s="128">
        <v>0.7</v>
      </c>
      <c r="F18" s="128">
        <v>10</v>
      </c>
      <c r="G18" s="129">
        <f t="shared" si="1"/>
        <v>7</v>
      </c>
      <c r="H18" s="128">
        <v>0</v>
      </c>
      <c r="I18" s="130">
        <v>3</v>
      </c>
      <c r="J18" s="131">
        <f t="shared" si="2"/>
        <v>10</v>
      </c>
      <c r="K18" s="132">
        <f t="shared" si="0"/>
        <v>379.4</v>
      </c>
      <c r="L18" s="130">
        <f t="shared" si="3"/>
        <v>3794</v>
      </c>
      <c r="M18" s="130">
        <f t="shared" si="4"/>
        <v>0</v>
      </c>
      <c r="N18" s="130">
        <f t="shared" si="5"/>
        <v>1626</v>
      </c>
      <c r="O18" s="28">
        <f t="shared" si="6"/>
        <v>5420</v>
      </c>
      <c r="P18" s="199"/>
      <c r="Q18" s="203"/>
      <c r="R18" s="203"/>
      <c r="S18" s="203"/>
      <c r="T18" s="203"/>
      <c r="U18" s="203"/>
      <c r="V18" s="204"/>
    </row>
    <row r="19" spans="1:22" ht="47.25">
      <c r="A19" s="133" t="s">
        <v>87</v>
      </c>
      <c r="B19" s="134" t="s">
        <v>88</v>
      </c>
      <c r="C19" s="135" t="s">
        <v>84</v>
      </c>
      <c r="D19" s="136">
        <v>108.5</v>
      </c>
      <c r="E19" s="128">
        <v>1.2</v>
      </c>
      <c r="F19" s="128">
        <v>10</v>
      </c>
      <c r="G19" s="129">
        <f t="shared" si="1"/>
        <v>12</v>
      </c>
      <c r="H19" s="128">
        <v>19.8</v>
      </c>
      <c r="I19" s="130">
        <v>0.85</v>
      </c>
      <c r="J19" s="131">
        <f t="shared" si="2"/>
        <v>32.65</v>
      </c>
      <c r="K19" s="132">
        <f t="shared" si="0"/>
        <v>130.19999999999999</v>
      </c>
      <c r="L19" s="130">
        <f t="shared" si="3"/>
        <v>1302</v>
      </c>
      <c r="M19" s="130">
        <f t="shared" si="4"/>
        <v>2148.3000000000002</v>
      </c>
      <c r="N19" s="130">
        <f t="shared" si="5"/>
        <v>92.23</v>
      </c>
      <c r="O19" s="28">
        <f t="shared" si="6"/>
        <v>3542.53</v>
      </c>
      <c r="P19" s="199"/>
      <c r="Q19" s="203"/>
      <c r="R19" s="203"/>
      <c r="S19" s="203"/>
      <c r="T19" s="203"/>
      <c r="U19" s="203"/>
      <c r="V19" s="204"/>
    </row>
    <row r="20" spans="1:22" ht="47.25">
      <c r="A20" s="133" t="s">
        <v>89</v>
      </c>
      <c r="B20" s="137" t="s">
        <v>90</v>
      </c>
      <c r="C20" s="138" t="s">
        <v>81</v>
      </c>
      <c r="D20" s="136">
        <v>1145</v>
      </c>
      <c r="E20" s="128">
        <v>0.5</v>
      </c>
      <c r="F20" s="128">
        <v>10</v>
      </c>
      <c r="G20" s="129">
        <f t="shared" si="1"/>
        <v>5</v>
      </c>
      <c r="H20" s="128">
        <v>0</v>
      </c>
      <c r="I20" s="130">
        <v>2</v>
      </c>
      <c r="J20" s="131">
        <f t="shared" si="2"/>
        <v>7</v>
      </c>
      <c r="K20" s="132">
        <f t="shared" si="0"/>
        <v>572.5</v>
      </c>
      <c r="L20" s="130">
        <f t="shared" si="3"/>
        <v>5725</v>
      </c>
      <c r="M20" s="130">
        <f t="shared" si="4"/>
        <v>0</v>
      </c>
      <c r="N20" s="130">
        <f t="shared" si="5"/>
        <v>2290</v>
      </c>
      <c r="O20" s="28">
        <f t="shared" si="6"/>
        <v>8015</v>
      </c>
      <c r="P20" s="199"/>
      <c r="Q20" s="203"/>
      <c r="R20" s="203"/>
      <c r="S20" s="203"/>
      <c r="T20" s="203"/>
      <c r="U20" s="203"/>
      <c r="V20" s="204"/>
    </row>
    <row r="21" spans="1:22" ht="47.25">
      <c r="A21" s="133" t="s">
        <v>91</v>
      </c>
      <c r="B21" s="139" t="s">
        <v>92</v>
      </c>
      <c r="C21" s="133" t="s">
        <v>84</v>
      </c>
      <c r="D21" s="140">
        <v>229</v>
      </c>
      <c r="E21" s="128">
        <v>1.9</v>
      </c>
      <c r="F21" s="128">
        <v>10</v>
      </c>
      <c r="G21" s="129">
        <f t="shared" si="1"/>
        <v>19</v>
      </c>
      <c r="H21" s="128">
        <v>25</v>
      </c>
      <c r="I21" s="130">
        <v>1</v>
      </c>
      <c r="J21" s="131">
        <f t="shared" si="2"/>
        <v>45</v>
      </c>
      <c r="K21" s="132">
        <f t="shared" si="0"/>
        <v>435.1</v>
      </c>
      <c r="L21" s="130">
        <f t="shared" si="3"/>
        <v>4351</v>
      </c>
      <c r="M21" s="130">
        <f t="shared" si="4"/>
        <v>5725</v>
      </c>
      <c r="N21" s="130">
        <f t="shared" si="5"/>
        <v>229</v>
      </c>
      <c r="O21" s="28">
        <f t="shared" si="6"/>
        <v>10305</v>
      </c>
      <c r="P21" s="199"/>
      <c r="Q21" s="203"/>
      <c r="R21" s="203"/>
      <c r="S21" s="203"/>
      <c r="T21" s="203"/>
      <c r="U21" s="203"/>
      <c r="V21" s="204"/>
    </row>
    <row r="22" spans="1:22" ht="31.5">
      <c r="A22" s="133" t="s">
        <v>93</v>
      </c>
      <c r="B22" s="139" t="s">
        <v>94</v>
      </c>
      <c r="C22" s="141" t="s">
        <v>76</v>
      </c>
      <c r="D22" s="140">
        <v>298.39999999999998</v>
      </c>
      <c r="E22" s="128">
        <v>0.5</v>
      </c>
      <c r="F22" s="128">
        <v>10</v>
      </c>
      <c r="G22" s="129">
        <f t="shared" si="1"/>
        <v>5</v>
      </c>
      <c r="H22" s="128">
        <v>0</v>
      </c>
      <c r="I22" s="130">
        <v>1.42</v>
      </c>
      <c r="J22" s="131">
        <f t="shared" si="2"/>
        <v>6.42</v>
      </c>
      <c r="K22" s="132">
        <f t="shared" si="0"/>
        <v>149.19999999999999</v>
      </c>
      <c r="L22" s="130">
        <f t="shared" si="3"/>
        <v>1492</v>
      </c>
      <c r="M22" s="130">
        <f t="shared" si="4"/>
        <v>0</v>
      </c>
      <c r="N22" s="130">
        <f t="shared" si="5"/>
        <v>423.73</v>
      </c>
      <c r="O22" s="28">
        <f t="shared" si="6"/>
        <v>1915.73</v>
      </c>
      <c r="P22" s="199"/>
      <c r="Q22" s="203"/>
      <c r="R22" s="203"/>
      <c r="S22" s="203"/>
      <c r="T22" s="203"/>
      <c r="U22" s="203"/>
      <c r="V22" s="204"/>
    </row>
    <row r="23" spans="1:22" ht="47.25">
      <c r="A23" s="133" t="s">
        <v>95</v>
      </c>
      <c r="B23" s="139" t="s">
        <v>96</v>
      </c>
      <c r="C23" s="141" t="s">
        <v>76</v>
      </c>
      <c r="D23" s="140">
        <v>830</v>
      </c>
      <c r="E23" s="128">
        <v>1.6</v>
      </c>
      <c r="F23" s="128">
        <v>10</v>
      </c>
      <c r="G23" s="129">
        <f t="shared" si="1"/>
        <v>16</v>
      </c>
      <c r="H23" s="128">
        <v>28</v>
      </c>
      <c r="I23" s="130">
        <v>1.5</v>
      </c>
      <c r="J23" s="131">
        <f t="shared" si="2"/>
        <v>45.5</v>
      </c>
      <c r="K23" s="132">
        <f t="shared" si="0"/>
        <v>1328</v>
      </c>
      <c r="L23" s="130">
        <f t="shared" si="3"/>
        <v>13280</v>
      </c>
      <c r="M23" s="130">
        <f t="shared" si="4"/>
        <v>23240</v>
      </c>
      <c r="N23" s="130">
        <f t="shared" si="5"/>
        <v>1245</v>
      </c>
      <c r="O23" s="28">
        <f t="shared" si="6"/>
        <v>37765</v>
      </c>
      <c r="P23" s="199"/>
      <c r="Q23" s="203"/>
      <c r="R23" s="203"/>
      <c r="S23" s="203"/>
      <c r="T23" s="203"/>
      <c r="U23" s="203"/>
      <c r="V23" s="204"/>
    </row>
    <row r="24" spans="1:22" ht="31.5">
      <c r="A24" s="133" t="s">
        <v>97</v>
      </c>
      <c r="B24" s="139" t="s">
        <v>98</v>
      </c>
      <c r="C24" s="141" t="s">
        <v>76</v>
      </c>
      <c r="D24" s="140">
        <v>830</v>
      </c>
      <c r="E24" s="128">
        <v>1</v>
      </c>
      <c r="F24" s="128">
        <v>10</v>
      </c>
      <c r="G24" s="129">
        <f t="shared" si="1"/>
        <v>10</v>
      </c>
      <c r="H24" s="128">
        <v>3.7</v>
      </c>
      <c r="I24" s="130">
        <v>0.7</v>
      </c>
      <c r="J24" s="131">
        <f t="shared" si="2"/>
        <v>14.399999999999999</v>
      </c>
      <c r="K24" s="132">
        <f t="shared" si="0"/>
        <v>830</v>
      </c>
      <c r="L24" s="130">
        <f t="shared" si="3"/>
        <v>8300</v>
      </c>
      <c r="M24" s="130">
        <f t="shared" si="4"/>
        <v>3071</v>
      </c>
      <c r="N24" s="130">
        <f t="shared" si="5"/>
        <v>581</v>
      </c>
      <c r="O24" s="28">
        <f t="shared" si="6"/>
        <v>11952</v>
      </c>
      <c r="P24" s="199"/>
      <c r="Q24" s="203"/>
      <c r="R24" s="203"/>
      <c r="S24" s="203"/>
      <c r="T24" s="203"/>
      <c r="U24" s="203"/>
      <c r="V24" s="204"/>
    </row>
    <row r="25" spans="1:22" ht="31.5">
      <c r="A25" s="133" t="s">
        <v>99</v>
      </c>
      <c r="B25" s="139" t="s">
        <v>100</v>
      </c>
      <c r="C25" s="141" t="s">
        <v>76</v>
      </c>
      <c r="D25" s="140">
        <v>830</v>
      </c>
      <c r="E25" s="128">
        <v>0.35</v>
      </c>
      <c r="F25" s="128">
        <v>10</v>
      </c>
      <c r="G25" s="129">
        <f t="shared" si="1"/>
        <v>3.5</v>
      </c>
      <c r="H25" s="128">
        <v>1.8</v>
      </c>
      <c r="I25" s="130">
        <v>0.35</v>
      </c>
      <c r="J25" s="131">
        <f t="shared" si="2"/>
        <v>5.6499999999999995</v>
      </c>
      <c r="K25" s="132">
        <f t="shared" si="0"/>
        <v>290.5</v>
      </c>
      <c r="L25" s="130">
        <f t="shared" si="3"/>
        <v>2905</v>
      </c>
      <c r="M25" s="130">
        <f t="shared" si="4"/>
        <v>1494</v>
      </c>
      <c r="N25" s="130">
        <f t="shared" si="5"/>
        <v>290.5</v>
      </c>
      <c r="O25" s="28">
        <f t="shared" si="6"/>
        <v>4689.5</v>
      </c>
      <c r="P25" s="199"/>
      <c r="Q25" s="203"/>
      <c r="R25" s="203"/>
      <c r="S25" s="203"/>
      <c r="T25" s="203"/>
      <c r="U25" s="203"/>
      <c r="V25" s="204"/>
    </row>
    <row r="26" spans="1:22">
      <c r="A26" s="142"/>
      <c r="B26" s="143" t="s">
        <v>101</v>
      </c>
      <c r="C26" s="135"/>
      <c r="D26" s="136"/>
      <c r="E26" s="128"/>
      <c r="F26" s="128"/>
      <c r="G26" s="129"/>
      <c r="H26" s="128"/>
      <c r="I26" s="130"/>
      <c r="J26" s="131"/>
      <c r="K26" s="132"/>
      <c r="L26" s="130"/>
      <c r="M26" s="130"/>
      <c r="N26" s="130"/>
      <c r="O26" s="28"/>
      <c r="P26" s="199"/>
      <c r="Q26" s="203"/>
      <c r="R26" s="203"/>
      <c r="S26" s="203"/>
      <c r="T26" s="203"/>
      <c r="U26" s="203"/>
      <c r="V26" s="204"/>
    </row>
    <row r="27" spans="1:22">
      <c r="A27" s="133" t="s">
        <v>39</v>
      </c>
      <c r="B27" s="144" t="s">
        <v>102</v>
      </c>
      <c r="C27" s="141" t="s">
        <v>81</v>
      </c>
      <c r="D27" s="136">
        <v>1</v>
      </c>
      <c r="E27" s="128">
        <v>10</v>
      </c>
      <c r="F27" s="128">
        <v>10</v>
      </c>
      <c r="G27" s="129">
        <f t="shared" si="1"/>
        <v>100</v>
      </c>
      <c r="H27" s="128">
        <v>126</v>
      </c>
      <c r="I27" s="130">
        <v>25</v>
      </c>
      <c r="J27" s="131">
        <f t="shared" si="2"/>
        <v>251</v>
      </c>
      <c r="K27" s="132">
        <f t="shared" si="0"/>
        <v>10</v>
      </c>
      <c r="L27" s="130">
        <f t="shared" si="3"/>
        <v>100</v>
      </c>
      <c r="M27" s="130">
        <f t="shared" si="4"/>
        <v>126</v>
      </c>
      <c r="N27" s="130">
        <f t="shared" si="5"/>
        <v>25</v>
      </c>
      <c r="O27" s="28">
        <f t="shared" si="6"/>
        <v>251</v>
      </c>
      <c r="P27" s="199"/>
      <c r="Q27" s="203"/>
      <c r="R27" s="203"/>
      <c r="S27" s="203"/>
      <c r="T27" s="203"/>
      <c r="U27" s="203"/>
      <c r="V27" s="204"/>
    </row>
    <row r="28" spans="1:22">
      <c r="A28" s="133" t="s">
        <v>71</v>
      </c>
      <c r="B28" s="134" t="s">
        <v>103</v>
      </c>
      <c r="C28" s="141" t="s">
        <v>81</v>
      </c>
      <c r="D28" s="145">
        <v>1</v>
      </c>
      <c r="E28" s="128">
        <v>4</v>
      </c>
      <c r="F28" s="128">
        <v>10</v>
      </c>
      <c r="G28" s="129">
        <f t="shared" si="1"/>
        <v>40</v>
      </c>
      <c r="H28" s="128">
        <v>111.4</v>
      </c>
      <c r="I28" s="130">
        <v>5</v>
      </c>
      <c r="J28" s="131">
        <f t="shared" si="2"/>
        <v>156.4</v>
      </c>
      <c r="K28" s="132">
        <f t="shared" si="0"/>
        <v>4</v>
      </c>
      <c r="L28" s="130">
        <f t="shared" si="3"/>
        <v>40</v>
      </c>
      <c r="M28" s="130">
        <f t="shared" si="4"/>
        <v>111.4</v>
      </c>
      <c r="N28" s="130">
        <f t="shared" si="5"/>
        <v>5</v>
      </c>
      <c r="O28" s="28">
        <f t="shared" si="6"/>
        <v>156.4</v>
      </c>
      <c r="P28" s="199"/>
      <c r="Q28" s="203"/>
      <c r="R28" s="203"/>
      <c r="S28" s="203"/>
      <c r="T28" s="203"/>
      <c r="U28" s="203"/>
      <c r="V28" s="204"/>
    </row>
    <row r="29" spans="1:22">
      <c r="A29" s="133" t="s">
        <v>74</v>
      </c>
      <c r="B29" s="134" t="s">
        <v>104</v>
      </c>
      <c r="C29" s="141" t="s">
        <v>105</v>
      </c>
      <c r="D29" s="136">
        <v>1</v>
      </c>
      <c r="E29" s="128">
        <v>7.5</v>
      </c>
      <c r="F29" s="128">
        <v>10</v>
      </c>
      <c r="G29" s="129">
        <f t="shared" si="1"/>
        <v>75</v>
      </c>
      <c r="H29" s="128">
        <v>142</v>
      </c>
      <c r="I29" s="130">
        <v>10</v>
      </c>
      <c r="J29" s="131">
        <f t="shared" si="2"/>
        <v>227</v>
      </c>
      <c r="K29" s="132">
        <f t="shared" si="0"/>
        <v>7.5</v>
      </c>
      <c r="L29" s="130">
        <f t="shared" si="3"/>
        <v>75</v>
      </c>
      <c r="M29" s="130">
        <f t="shared" si="4"/>
        <v>142</v>
      </c>
      <c r="N29" s="130">
        <f t="shared" si="5"/>
        <v>10</v>
      </c>
      <c r="O29" s="28">
        <f t="shared" si="6"/>
        <v>227</v>
      </c>
      <c r="P29" s="199"/>
      <c r="Q29" s="203"/>
      <c r="R29" s="203"/>
      <c r="S29" s="203"/>
      <c r="T29" s="203"/>
      <c r="U29" s="203"/>
      <c r="V29" s="204"/>
    </row>
    <row r="30" spans="1:22" ht="47.25">
      <c r="A30" s="133" t="s">
        <v>77</v>
      </c>
      <c r="B30" s="134" t="s">
        <v>106</v>
      </c>
      <c r="C30" s="141" t="s">
        <v>76</v>
      </c>
      <c r="D30" s="145">
        <v>1.68</v>
      </c>
      <c r="E30" s="128">
        <v>10</v>
      </c>
      <c r="F30" s="128">
        <v>10</v>
      </c>
      <c r="G30" s="129">
        <f t="shared" si="1"/>
        <v>100</v>
      </c>
      <c r="H30" s="128">
        <v>32.200000000000003</v>
      </c>
      <c r="I30" s="130">
        <v>5.4</v>
      </c>
      <c r="J30" s="131">
        <f t="shared" si="2"/>
        <v>137.6</v>
      </c>
      <c r="K30" s="132">
        <f t="shared" si="0"/>
        <v>16.8</v>
      </c>
      <c r="L30" s="130">
        <f t="shared" si="3"/>
        <v>168</v>
      </c>
      <c r="M30" s="130">
        <f t="shared" si="4"/>
        <v>54.1</v>
      </c>
      <c r="N30" s="130">
        <f t="shared" si="5"/>
        <v>9.07</v>
      </c>
      <c r="O30" s="28">
        <f t="shared" si="6"/>
        <v>231.17</v>
      </c>
      <c r="P30" s="199"/>
      <c r="Q30" s="203"/>
      <c r="R30" s="203"/>
      <c r="S30" s="203"/>
      <c r="T30" s="203"/>
      <c r="U30" s="203"/>
      <c r="V30" s="204"/>
    </row>
    <row r="31" spans="1:22">
      <c r="A31" s="133"/>
      <c r="B31" s="146" t="s">
        <v>107</v>
      </c>
      <c r="C31" s="141"/>
      <c r="D31" s="136"/>
      <c r="E31" s="128"/>
      <c r="F31" s="128"/>
      <c r="G31" s="129"/>
      <c r="H31" s="128"/>
      <c r="I31" s="130"/>
      <c r="J31" s="131"/>
      <c r="K31" s="132"/>
      <c r="L31" s="130"/>
      <c r="M31" s="130"/>
      <c r="N31" s="130"/>
      <c r="O31" s="28"/>
      <c r="P31" s="199"/>
      <c r="Q31" s="203"/>
      <c r="R31" s="203"/>
      <c r="S31" s="203"/>
      <c r="T31" s="203"/>
      <c r="U31" s="203"/>
      <c r="V31" s="204"/>
    </row>
    <row r="32" spans="1:22">
      <c r="A32" s="133" t="s">
        <v>39</v>
      </c>
      <c r="B32" s="137" t="s">
        <v>108</v>
      </c>
      <c r="C32" s="141" t="s">
        <v>105</v>
      </c>
      <c r="D32" s="145">
        <v>1</v>
      </c>
      <c r="E32" s="128">
        <v>7.5</v>
      </c>
      <c r="F32" s="128">
        <v>10</v>
      </c>
      <c r="G32" s="129">
        <f t="shared" si="1"/>
        <v>75</v>
      </c>
      <c r="H32" s="128">
        <v>142</v>
      </c>
      <c r="I32" s="130">
        <v>10</v>
      </c>
      <c r="J32" s="131">
        <f t="shared" si="2"/>
        <v>227</v>
      </c>
      <c r="K32" s="132">
        <f t="shared" si="0"/>
        <v>7.5</v>
      </c>
      <c r="L32" s="130">
        <f t="shared" si="3"/>
        <v>75</v>
      </c>
      <c r="M32" s="130">
        <f t="shared" si="4"/>
        <v>142</v>
      </c>
      <c r="N32" s="130">
        <f t="shared" si="5"/>
        <v>10</v>
      </c>
      <c r="O32" s="28">
        <f t="shared" si="6"/>
        <v>227</v>
      </c>
      <c r="P32" s="199"/>
      <c r="Q32" s="203"/>
      <c r="R32" s="203"/>
      <c r="S32" s="203"/>
      <c r="T32" s="203"/>
      <c r="U32" s="203"/>
      <c r="V32" s="204"/>
    </row>
    <row r="33" spans="1:22" ht="47.25">
      <c r="A33" s="133" t="s">
        <v>71</v>
      </c>
      <c r="B33" s="139" t="s">
        <v>106</v>
      </c>
      <c r="C33" s="141" t="s">
        <v>76</v>
      </c>
      <c r="D33" s="136">
        <v>1.68</v>
      </c>
      <c r="E33" s="128">
        <v>10</v>
      </c>
      <c r="F33" s="128">
        <v>10</v>
      </c>
      <c r="G33" s="129">
        <f t="shared" si="1"/>
        <v>100</v>
      </c>
      <c r="H33" s="128">
        <v>32.200000000000003</v>
      </c>
      <c r="I33" s="130">
        <v>5.4</v>
      </c>
      <c r="J33" s="131">
        <f t="shared" si="2"/>
        <v>137.6</v>
      </c>
      <c r="K33" s="132">
        <f t="shared" si="0"/>
        <v>16.8</v>
      </c>
      <c r="L33" s="130">
        <f t="shared" si="3"/>
        <v>168</v>
      </c>
      <c r="M33" s="130">
        <f t="shared" si="4"/>
        <v>54.1</v>
      </c>
      <c r="N33" s="130">
        <f t="shared" si="5"/>
        <v>9.07</v>
      </c>
      <c r="O33" s="28">
        <f t="shared" si="6"/>
        <v>231.17</v>
      </c>
      <c r="P33" s="199"/>
      <c r="Q33" s="203"/>
      <c r="R33" s="203"/>
      <c r="S33" s="203"/>
      <c r="T33" s="203"/>
      <c r="U33" s="203"/>
      <c r="V33" s="204"/>
    </row>
    <row r="34" spans="1:22" ht="31.5">
      <c r="A34" s="133"/>
      <c r="B34" s="146" t="s">
        <v>109</v>
      </c>
      <c r="C34" s="141"/>
      <c r="D34" s="136"/>
      <c r="E34" s="128"/>
      <c r="F34" s="128"/>
      <c r="G34" s="129"/>
      <c r="H34" s="128"/>
      <c r="I34" s="130"/>
      <c r="J34" s="131"/>
      <c r="K34" s="132"/>
      <c r="L34" s="130"/>
      <c r="M34" s="130"/>
      <c r="N34" s="130"/>
      <c r="O34" s="28"/>
      <c r="P34" s="199"/>
      <c r="Q34" s="203"/>
      <c r="R34" s="203"/>
      <c r="S34" s="203"/>
      <c r="T34" s="203"/>
      <c r="U34" s="203"/>
      <c r="V34" s="204"/>
    </row>
    <row r="35" spans="1:22" ht="31.5">
      <c r="A35" s="133" t="s">
        <v>79</v>
      </c>
      <c r="B35" s="134" t="s">
        <v>110</v>
      </c>
      <c r="C35" s="141" t="s">
        <v>76</v>
      </c>
      <c r="D35" s="136">
        <v>76.3</v>
      </c>
      <c r="E35" s="128">
        <v>1</v>
      </c>
      <c r="F35" s="128">
        <v>10</v>
      </c>
      <c r="G35" s="129">
        <f t="shared" si="1"/>
        <v>10</v>
      </c>
      <c r="H35" s="128">
        <v>2.85</v>
      </c>
      <c r="I35" s="130">
        <v>0.5</v>
      </c>
      <c r="J35" s="131">
        <f t="shared" si="2"/>
        <v>13.35</v>
      </c>
      <c r="K35" s="132">
        <f t="shared" si="0"/>
        <v>76.3</v>
      </c>
      <c r="L35" s="130">
        <f t="shared" si="3"/>
        <v>763</v>
      </c>
      <c r="M35" s="130">
        <f t="shared" si="4"/>
        <v>217.46</v>
      </c>
      <c r="N35" s="130">
        <f t="shared" si="5"/>
        <v>38.15</v>
      </c>
      <c r="O35" s="28">
        <f t="shared" si="6"/>
        <v>1018.61</v>
      </c>
      <c r="P35" s="199"/>
      <c r="Q35" s="203"/>
      <c r="R35" s="203"/>
      <c r="S35" s="203"/>
      <c r="T35" s="203"/>
      <c r="U35" s="203"/>
      <c r="V35" s="204"/>
    </row>
    <row r="36" spans="1:22">
      <c r="A36" s="133" t="s">
        <v>82</v>
      </c>
      <c r="B36" s="144" t="s">
        <v>111</v>
      </c>
      <c r="C36" s="141" t="s">
        <v>76</v>
      </c>
      <c r="D36" s="136">
        <v>76.3</v>
      </c>
      <c r="E36" s="128">
        <v>0.5</v>
      </c>
      <c r="F36" s="128">
        <v>10</v>
      </c>
      <c r="G36" s="129">
        <f t="shared" si="1"/>
        <v>5</v>
      </c>
      <c r="H36" s="128">
        <v>1.66</v>
      </c>
      <c r="I36" s="130">
        <v>0.5</v>
      </c>
      <c r="J36" s="131">
        <f t="shared" si="2"/>
        <v>7.16</v>
      </c>
      <c r="K36" s="132">
        <f t="shared" si="0"/>
        <v>38.15</v>
      </c>
      <c r="L36" s="130">
        <f t="shared" si="3"/>
        <v>381.5</v>
      </c>
      <c r="M36" s="130">
        <f t="shared" si="4"/>
        <v>126.66</v>
      </c>
      <c r="N36" s="130">
        <f t="shared" si="5"/>
        <v>38.15</v>
      </c>
      <c r="O36" s="28">
        <f t="shared" si="6"/>
        <v>546.30999999999995</v>
      </c>
      <c r="P36" s="199"/>
      <c r="Q36" s="203"/>
      <c r="R36" s="203"/>
      <c r="S36" s="203"/>
      <c r="T36" s="203"/>
      <c r="U36" s="203"/>
      <c r="V36" s="204"/>
    </row>
    <row r="37" spans="1:22" ht="31.5">
      <c r="A37" s="133" t="s">
        <v>85</v>
      </c>
      <c r="B37" s="134" t="s">
        <v>112</v>
      </c>
      <c r="C37" s="141" t="s">
        <v>76</v>
      </c>
      <c r="D37" s="145">
        <v>232.8</v>
      </c>
      <c r="E37" s="128">
        <v>1</v>
      </c>
      <c r="F37" s="128">
        <v>10</v>
      </c>
      <c r="G37" s="129">
        <f t="shared" si="1"/>
        <v>10</v>
      </c>
      <c r="H37" s="128">
        <v>3.05</v>
      </c>
      <c r="I37" s="130">
        <v>0.5</v>
      </c>
      <c r="J37" s="131">
        <f t="shared" si="2"/>
        <v>13.55</v>
      </c>
      <c r="K37" s="132">
        <f t="shared" si="0"/>
        <v>232.8</v>
      </c>
      <c r="L37" s="130">
        <f t="shared" si="3"/>
        <v>2328</v>
      </c>
      <c r="M37" s="130">
        <f t="shared" si="4"/>
        <v>710.04</v>
      </c>
      <c r="N37" s="130">
        <f t="shared" si="5"/>
        <v>116.4</v>
      </c>
      <c r="O37" s="28">
        <f t="shared" si="6"/>
        <v>3154.44</v>
      </c>
      <c r="P37" s="199"/>
      <c r="Q37" s="203"/>
      <c r="R37" s="203"/>
      <c r="S37" s="203"/>
      <c r="T37" s="203"/>
      <c r="U37" s="203"/>
      <c r="V37" s="204"/>
    </row>
    <row r="38" spans="1:22">
      <c r="A38" s="133" t="s">
        <v>87</v>
      </c>
      <c r="B38" s="134" t="s">
        <v>113</v>
      </c>
      <c r="C38" s="141" t="s">
        <v>76</v>
      </c>
      <c r="D38" s="136">
        <v>232.8</v>
      </c>
      <c r="E38" s="128">
        <v>0.5</v>
      </c>
      <c r="F38" s="128">
        <v>10</v>
      </c>
      <c r="G38" s="129">
        <f t="shared" si="1"/>
        <v>5</v>
      </c>
      <c r="H38" s="128">
        <v>2.04</v>
      </c>
      <c r="I38" s="130">
        <v>0.5</v>
      </c>
      <c r="J38" s="131">
        <f t="shared" si="2"/>
        <v>7.54</v>
      </c>
      <c r="K38" s="132">
        <f t="shared" si="0"/>
        <v>116.4</v>
      </c>
      <c r="L38" s="130">
        <f t="shared" si="3"/>
        <v>1164</v>
      </c>
      <c r="M38" s="130">
        <f t="shared" si="4"/>
        <v>474.91</v>
      </c>
      <c r="N38" s="130">
        <f t="shared" si="5"/>
        <v>116.4</v>
      </c>
      <c r="O38" s="28">
        <f t="shared" si="6"/>
        <v>1755.3100000000002</v>
      </c>
      <c r="P38" s="199"/>
      <c r="Q38" s="203"/>
      <c r="R38" s="203"/>
      <c r="S38" s="203"/>
      <c r="T38" s="203"/>
      <c r="U38" s="203"/>
      <c r="V38" s="204"/>
    </row>
    <row r="39" spans="1:22" ht="47.25">
      <c r="A39" s="133" t="s">
        <v>89</v>
      </c>
      <c r="B39" s="134" t="s">
        <v>106</v>
      </c>
      <c r="C39" s="141" t="s">
        <v>76</v>
      </c>
      <c r="D39" s="145">
        <v>7.14</v>
      </c>
      <c r="E39" s="128">
        <v>10</v>
      </c>
      <c r="F39" s="128">
        <v>10</v>
      </c>
      <c r="G39" s="129">
        <f t="shared" si="1"/>
        <v>100</v>
      </c>
      <c r="H39" s="128">
        <v>32.200000000000003</v>
      </c>
      <c r="I39" s="130">
        <v>5.4</v>
      </c>
      <c r="J39" s="131">
        <f t="shared" si="2"/>
        <v>137.6</v>
      </c>
      <c r="K39" s="132">
        <f t="shared" si="0"/>
        <v>71.400000000000006</v>
      </c>
      <c r="L39" s="130">
        <f t="shared" si="3"/>
        <v>714</v>
      </c>
      <c r="M39" s="130">
        <f t="shared" si="4"/>
        <v>229.91</v>
      </c>
      <c r="N39" s="130">
        <f t="shared" si="5"/>
        <v>38.56</v>
      </c>
      <c r="O39" s="28">
        <f t="shared" si="6"/>
        <v>982.47</v>
      </c>
      <c r="P39" s="199"/>
      <c r="Q39" s="203"/>
      <c r="R39" s="203"/>
      <c r="S39" s="203"/>
      <c r="T39" s="203"/>
      <c r="U39" s="203"/>
      <c r="V39" s="204"/>
    </row>
    <row r="40" spans="1:22" ht="31.5">
      <c r="A40" s="147"/>
      <c r="B40" s="148" t="s">
        <v>114</v>
      </c>
      <c r="C40" s="149"/>
      <c r="D40" s="136"/>
      <c r="E40" s="128"/>
      <c r="F40" s="128"/>
      <c r="G40" s="129"/>
      <c r="H40" s="128"/>
      <c r="I40" s="130"/>
      <c r="J40" s="131"/>
      <c r="K40" s="132"/>
      <c r="L40" s="130"/>
      <c r="M40" s="130"/>
      <c r="N40" s="130"/>
      <c r="O40" s="28"/>
      <c r="P40" s="199"/>
      <c r="Q40" s="203"/>
      <c r="R40" s="203"/>
      <c r="S40" s="203"/>
      <c r="T40" s="203"/>
      <c r="U40" s="203"/>
      <c r="V40" s="204"/>
    </row>
    <row r="41" spans="1:22" ht="31.5">
      <c r="A41" s="150" t="s">
        <v>39</v>
      </c>
      <c r="B41" s="137" t="s">
        <v>110</v>
      </c>
      <c r="C41" s="141" t="s">
        <v>76</v>
      </c>
      <c r="D41" s="145">
        <v>55.6</v>
      </c>
      <c r="E41" s="128">
        <v>1</v>
      </c>
      <c r="F41" s="128">
        <v>10</v>
      </c>
      <c r="G41" s="129">
        <f t="shared" si="1"/>
        <v>10</v>
      </c>
      <c r="H41" s="128">
        <v>2.85</v>
      </c>
      <c r="I41" s="130">
        <v>0.5</v>
      </c>
      <c r="J41" s="131">
        <f t="shared" si="2"/>
        <v>13.35</v>
      </c>
      <c r="K41" s="132">
        <f t="shared" si="0"/>
        <v>55.6</v>
      </c>
      <c r="L41" s="130">
        <f t="shared" si="3"/>
        <v>556</v>
      </c>
      <c r="M41" s="130">
        <f t="shared" si="4"/>
        <v>158.46</v>
      </c>
      <c r="N41" s="130">
        <f t="shared" si="5"/>
        <v>27.8</v>
      </c>
      <c r="O41" s="28">
        <f t="shared" si="6"/>
        <v>742.26</v>
      </c>
      <c r="P41" s="199"/>
      <c r="Q41" s="203"/>
      <c r="R41" s="203"/>
      <c r="S41" s="203"/>
      <c r="T41" s="203"/>
      <c r="U41" s="203"/>
      <c r="V41" s="204"/>
    </row>
    <row r="42" spans="1:22">
      <c r="A42" s="133" t="s">
        <v>71</v>
      </c>
      <c r="B42" s="139" t="s">
        <v>111</v>
      </c>
      <c r="C42" s="141" t="s">
        <v>76</v>
      </c>
      <c r="D42" s="136">
        <v>55.6</v>
      </c>
      <c r="E42" s="128">
        <v>0.5</v>
      </c>
      <c r="F42" s="128">
        <v>10</v>
      </c>
      <c r="G42" s="129">
        <f t="shared" si="1"/>
        <v>5</v>
      </c>
      <c r="H42" s="128">
        <v>1.66</v>
      </c>
      <c r="I42" s="130">
        <v>0.5</v>
      </c>
      <c r="J42" s="131">
        <f t="shared" si="2"/>
        <v>7.16</v>
      </c>
      <c r="K42" s="132">
        <f t="shared" si="0"/>
        <v>27.8</v>
      </c>
      <c r="L42" s="130">
        <f t="shared" si="3"/>
        <v>278</v>
      </c>
      <c r="M42" s="130">
        <f t="shared" si="4"/>
        <v>92.3</v>
      </c>
      <c r="N42" s="130">
        <f t="shared" si="5"/>
        <v>27.8</v>
      </c>
      <c r="O42" s="28">
        <f t="shared" si="6"/>
        <v>398.1</v>
      </c>
      <c r="P42" s="199"/>
      <c r="Q42" s="203"/>
      <c r="R42" s="203"/>
      <c r="S42" s="203"/>
      <c r="T42" s="203"/>
      <c r="U42" s="203"/>
      <c r="V42" s="204"/>
    </row>
    <row r="43" spans="1:22" ht="31.5">
      <c r="A43" s="150" t="s">
        <v>74</v>
      </c>
      <c r="B43" s="139" t="s">
        <v>112</v>
      </c>
      <c r="C43" s="141" t="s">
        <v>76</v>
      </c>
      <c r="D43" s="136">
        <v>212.4</v>
      </c>
      <c r="E43" s="128">
        <v>1</v>
      </c>
      <c r="F43" s="128">
        <v>10</v>
      </c>
      <c r="G43" s="129">
        <f t="shared" si="1"/>
        <v>10</v>
      </c>
      <c r="H43" s="128">
        <v>3.05</v>
      </c>
      <c r="I43" s="130">
        <v>0.5</v>
      </c>
      <c r="J43" s="131">
        <f t="shared" si="2"/>
        <v>13.55</v>
      </c>
      <c r="K43" s="132">
        <f t="shared" si="0"/>
        <v>212.4</v>
      </c>
      <c r="L43" s="130">
        <f t="shared" si="3"/>
        <v>2124</v>
      </c>
      <c r="M43" s="130">
        <f t="shared" si="4"/>
        <v>647.82000000000005</v>
      </c>
      <c r="N43" s="130">
        <f t="shared" si="5"/>
        <v>106.2</v>
      </c>
      <c r="O43" s="28">
        <f t="shared" si="6"/>
        <v>2878.02</v>
      </c>
      <c r="P43" s="199"/>
      <c r="Q43" s="203"/>
      <c r="R43" s="203"/>
      <c r="S43" s="203"/>
      <c r="T43" s="203"/>
      <c r="U43" s="203"/>
      <c r="V43" s="204"/>
    </row>
    <row r="44" spans="1:22">
      <c r="A44" s="133" t="s">
        <v>77</v>
      </c>
      <c r="B44" s="139" t="s">
        <v>113</v>
      </c>
      <c r="C44" s="141" t="s">
        <v>76</v>
      </c>
      <c r="D44" s="136">
        <v>212.4</v>
      </c>
      <c r="E44" s="128">
        <v>0.5</v>
      </c>
      <c r="F44" s="128">
        <v>10</v>
      </c>
      <c r="G44" s="129">
        <f t="shared" si="1"/>
        <v>5</v>
      </c>
      <c r="H44" s="128">
        <v>2.04</v>
      </c>
      <c r="I44" s="130">
        <v>0.5</v>
      </c>
      <c r="J44" s="131">
        <f t="shared" si="2"/>
        <v>7.54</v>
      </c>
      <c r="K44" s="132">
        <f t="shared" si="0"/>
        <v>106.2</v>
      </c>
      <c r="L44" s="130">
        <f t="shared" si="3"/>
        <v>1062</v>
      </c>
      <c r="M44" s="130">
        <f t="shared" si="4"/>
        <v>433.3</v>
      </c>
      <c r="N44" s="130">
        <f t="shared" si="5"/>
        <v>106.2</v>
      </c>
      <c r="O44" s="28">
        <f t="shared" si="6"/>
        <v>1601.5</v>
      </c>
      <c r="P44" s="199"/>
      <c r="Q44" s="203"/>
      <c r="R44" s="203"/>
      <c r="S44" s="203"/>
      <c r="T44" s="203"/>
      <c r="U44" s="203"/>
      <c r="V44" s="204"/>
    </row>
    <row r="45" spans="1:22" ht="47.25">
      <c r="A45" s="150" t="s">
        <v>79</v>
      </c>
      <c r="B45" s="139" t="s">
        <v>106</v>
      </c>
      <c r="C45" s="141" t="s">
        <v>76</v>
      </c>
      <c r="D45" s="136">
        <v>4.2</v>
      </c>
      <c r="E45" s="128">
        <v>10</v>
      </c>
      <c r="F45" s="128">
        <v>10</v>
      </c>
      <c r="G45" s="129">
        <f t="shared" si="1"/>
        <v>100</v>
      </c>
      <c r="H45" s="128">
        <v>32.200000000000003</v>
      </c>
      <c r="I45" s="130">
        <v>5.4</v>
      </c>
      <c r="J45" s="131">
        <f t="shared" si="2"/>
        <v>137.6</v>
      </c>
      <c r="K45" s="132">
        <f t="shared" si="0"/>
        <v>42</v>
      </c>
      <c r="L45" s="130">
        <f t="shared" si="3"/>
        <v>420</v>
      </c>
      <c r="M45" s="130">
        <f t="shared" si="4"/>
        <v>135.24</v>
      </c>
      <c r="N45" s="130">
        <f t="shared" si="5"/>
        <v>22.68</v>
      </c>
      <c r="O45" s="28">
        <f t="shared" si="6"/>
        <v>577.91999999999996</v>
      </c>
      <c r="P45" s="199"/>
      <c r="Q45" s="203"/>
      <c r="R45" s="203"/>
      <c r="S45" s="203"/>
      <c r="T45" s="203"/>
      <c r="U45" s="203"/>
      <c r="V45" s="204"/>
    </row>
    <row r="46" spans="1:22">
      <c r="A46" s="147"/>
      <c r="B46" s="151" t="s">
        <v>115</v>
      </c>
      <c r="C46" s="149"/>
      <c r="D46" s="136"/>
      <c r="E46" s="128"/>
      <c r="F46" s="128"/>
      <c r="G46" s="129"/>
      <c r="H46" s="128"/>
      <c r="I46" s="130"/>
      <c r="J46" s="131"/>
      <c r="K46" s="132"/>
      <c r="L46" s="130"/>
      <c r="M46" s="130"/>
      <c r="N46" s="130"/>
      <c r="O46" s="28"/>
      <c r="P46" s="199"/>
      <c r="Q46" s="203"/>
      <c r="R46" s="203"/>
      <c r="S46" s="203"/>
      <c r="T46" s="203"/>
      <c r="U46" s="203"/>
      <c r="V46" s="204"/>
    </row>
    <row r="47" spans="1:22" ht="31.5">
      <c r="A47" s="150" t="s">
        <v>39</v>
      </c>
      <c r="B47" s="137" t="s">
        <v>110</v>
      </c>
      <c r="C47" s="141" t="s">
        <v>76</v>
      </c>
      <c r="D47" s="136">
        <v>152.19999999999999</v>
      </c>
      <c r="E47" s="128">
        <v>1</v>
      </c>
      <c r="F47" s="128">
        <v>10</v>
      </c>
      <c r="G47" s="129">
        <f t="shared" si="1"/>
        <v>10</v>
      </c>
      <c r="H47" s="128">
        <v>2.85</v>
      </c>
      <c r="I47" s="130">
        <v>0.5</v>
      </c>
      <c r="J47" s="131">
        <f t="shared" si="2"/>
        <v>13.35</v>
      </c>
      <c r="K47" s="132">
        <f t="shared" si="0"/>
        <v>152.19999999999999</v>
      </c>
      <c r="L47" s="130">
        <f t="shared" si="3"/>
        <v>1522</v>
      </c>
      <c r="M47" s="130">
        <f t="shared" si="4"/>
        <v>433.77</v>
      </c>
      <c r="N47" s="130">
        <f t="shared" si="5"/>
        <v>76.099999999999994</v>
      </c>
      <c r="O47" s="28">
        <f t="shared" si="6"/>
        <v>2031.87</v>
      </c>
      <c r="P47" s="199"/>
      <c r="Q47" s="203"/>
      <c r="R47" s="203"/>
      <c r="S47" s="203"/>
      <c r="T47" s="203"/>
      <c r="U47" s="203"/>
      <c r="V47" s="204"/>
    </row>
    <row r="48" spans="1:22">
      <c r="A48" s="133" t="s">
        <v>71</v>
      </c>
      <c r="B48" s="139" t="s">
        <v>111</v>
      </c>
      <c r="C48" s="135" t="s">
        <v>76</v>
      </c>
      <c r="D48" s="136">
        <v>152.19999999999999</v>
      </c>
      <c r="E48" s="128">
        <v>0.5</v>
      </c>
      <c r="F48" s="128">
        <v>10</v>
      </c>
      <c r="G48" s="129">
        <f t="shared" si="1"/>
        <v>5</v>
      </c>
      <c r="H48" s="128">
        <v>1.66</v>
      </c>
      <c r="I48" s="130">
        <v>0.5</v>
      </c>
      <c r="J48" s="131">
        <f t="shared" si="2"/>
        <v>7.16</v>
      </c>
      <c r="K48" s="132">
        <f t="shared" si="0"/>
        <v>76.099999999999994</v>
      </c>
      <c r="L48" s="130">
        <f t="shared" si="3"/>
        <v>761</v>
      </c>
      <c r="M48" s="130">
        <f t="shared" si="4"/>
        <v>252.65</v>
      </c>
      <c r="N48" s="130">
        <f t="shared" si="5"/>
        <v>76.099999999999994</v>
      </c>
      <c r="O48" s="28">
        <f t="shared" si="6"/>
        <v>1089.75</v>
      </c>
      <c r="P48" s="199"/>
      <c r="Q48" s="203"/>
      <c r="R48" s="203"/>
      <c r="S48" s="203"/>
      <c r="T48" s="203"/>
      <c r="U48" s="203"/>
      <c r="V48" s="204"/>
    </row>
    <row r="49" spans="1:22" ht="31.5">
      <c r="A49" s="150" t="s">
        <v>74</v>
      </c>
      <c r="B49" s="139" t="s">
        <v>112</v>
      </c>
      <c r="C49" s="141" t="s">
        <v>76</v>
      </c>
      <c r="D49" s="136">
        <v>319.8</v>
      </c>
      <c r="E49" s="128">
        <v>1</v>
      </c>
      <c r="F49" s="128">
        <v>10</v>
      </c>
      <c r="G49" s="129">
        <f t="shared" si="1"/>
        <v>10</v>
      </c>
      <c r="H49" s="128">
        <v>3.05</v>
      </c>
      <c r="I49" s="130">
        <v>0.5</v>
      </c>
      <c r="J49" s="131">
        <f t="shared" si="2"/>
        <v>13.55</v>
      </c>
      <c r="K49" s="132">
        <f t="shared" si="0"/>
        <v>319.8</v>
      </c>
      <c r="L49" s="130">
        <f t="shared" si="3"/>
        <v>3198</v>
      </c>
      <c r="M49" s="130">
        <f t="shared" si="4"/>
        <v>975.39</v>
      </c>
      <c r="N49" s="130">
        <f t="shared" si="5"/>
        <v>159.9</v>
      </c>
      <c r="O49" s="28">
        <f t="shared" si="6"/>
        <v>4333.29</v>
      </c>
      <c r="P49" s="199"/>
      <c r="Q49" s="203"/>
      <c r="R49" s="203"/>
      <c r="S49" s="203"/>
      <c r="T49" s="203"/>
      <c r="U49" s="203"/>
      <c r="V49" s="204"/>
    </row>
    <row r="50" spans="1:22">
      <c r="A50" s="133" t="s">
        <v>77</v>
      </c>
      <c r="B50" s="139" t="s">
        <v>113</v>
      </c>
      <c r="C50" s="135" t="s">
        <v>76</v>
      </c>
      <c r="D50" s="136">
        <v>319.8</v>
      </c>
      <c r="E50" s="128">
        <v>0.5</v>
      </c>
      <c r="F50" s="128">
        <v>10</v>
      </c>
      <c r="G50" s="129">
        <f t="shared" si="1"/>
        <v>5</v>
      </c>
      <c r="H50" s="128">
        <v>2.04</v>
      </c>
      <c r="I50" s="130">
        <v>0.5</v>
      </c>
      <c r="J50" s="131">
        <f t="shared" si="2"/>
        <v>7.54</v>
      </c>
      <c r="K50" s="132">
        <f t="shared" si="0"/>
        <v>159.9</v>
      </c>
      <c r="L50" s="130">
        <f t="shared" si="3"/>
        <v>1599</v>
      </c>
      <c r="M50" s="130">
        <f t="shared" si="4"/>
        <v>652.39</v>
      </c>
      <c r="N50" s="130">
        <f t="shared" si="5"/>
        <v>159.9</v>
      </c>
      <c r="O50" s="28">
        <f t="shared" si="6"/>
        <v>2411.29</v>
      </c>
      <c r="P50" s="199"/>
      <c r="Q50" s="203"/>
      <c r="R50" s="203"/>
      <c r="S50" s="203"/>
      <c r="T50" s="203"/>
      <c r="U50" s="203"/>
      <c r="V50" s="204"/>
    </row>
    <row r="51" spans="1:22" ht="47.25">
      <c r="A51" s="150" t="s">
        <v>79</v>
      </c>
      <c r="B51" s="139" t="s">
        <v>106</v>
      </c>
      <c r="C51" s="141" t="s">
        <v>76</v>
      </c>
      <c r="D51" s="136">
        <v>5.67</v>
      </c>
      <c r="E51" s="128">
        <v>10</v>
      </c>
      <c r="F51" s="128">
        <v>10</v>
      </c>
      <c r="G51" s="129">
        <f t="shared" si="1"/>
        <v>100</v>
      </c>
      <c r="H51" s="128">
        <v>32.200000000000003</v>
      </c>
      <c r="I51" s="130">
        <v>5.4</v>
      </c>
      <c r="J51" s="131">
        <f t="shared" si="2"/>
        <v>137.6</v>
      </c>
      <c r="K51" s="132">
        <f t="shared" si="0"/>
        <v>56.7</v>
      </c>
      <c r="L51" s="130">
        <f t="shared" si="3"/>
        <v>567</v>
      </c>
      <c r="M51" s="130">
        <f t="shared" si="4"/>
        <v>182.57</v>
      </c>
      <c r="N51" s="130">
        <f t="shared" si="5"/>
        <v>30.62</v>
      </c>
      <c r="O51" s="28">
        <f t="shared" si="6"/>
        <v>780.18999999999994</v>
      </c>
      <c r="P51" s="199"/>
      <c r="Q51" s="203"/>
      <c r="R51" s="203"/>
      <c r="S51" s="203"/>
      <c r="T51" s="203"/>
      <c r="U51" s="203"/>
      <c r="V51" s="204"/>
    </row>
    <row r="52" spans="1:22">
      <c r="A52" s="133"/>
      <c r="B52" s="152" t="s">
        <v>116</v>
      </c>
      <c r="C52" s="135"/>
      <c r="D52" s="136"/>
      <c r="E52" s="128"/>
      <c r="F52" s="128"/>
      <c r="G52" s="129"/>
      <c r="H52" s="128"/>
      <c r="I52" s="130"/>
      <c r="J52" s="131"/>
      <c r="K52" s="132"/>
      <c r="L52" s="130"/>
      <c r="M52" s="130"/>
      <c r="N52" s="130"/>
      <c r="O52" s="28"/>
      <c r="P52" s="199"/>
      <c r="Q52" s="203"/>
      <c r="R52" s="203"/>
      <c r="S52" s="203"/>
      <c r="T52" s="203"/>
      <c r="U52" s="203"/>
      <c r="V52" s="204"/>
    </row>
    <row r="53" spans="1:22" ht="31.5">
      <c r="A53" s="133" t="s">
        <v>71</v>
      </c>
      <c r="B53" s="137" t="s">
        <v>110</v>
      </c>
      <c r="C53" s="135" t="s">
        <v>76</v>
      </c>
      <c r="D53" s="136">
        <v>76.3</v>
      </c>
      <c r="E53" s="128">
        <v>1</v>
      </c>
      <c r="F53" s="128">
        <v>10</v>
      </c>
      <c r="G53" s="129">
        <f t="shared" si="1"/>
        <v>10</v>
      </c>
      <c r="H53" s="128">
        <v>2.85</v>
      </c>
      <c r="I53" s="130">
        <v>0.5</v>
      </c>
      <c r="J53" s="131">
        <f t="shared" si="2"/>
        <v>13.35</v>
      </c>
      <c r="K53" s="132">
        <f t="shared" ref="K53:K78" si="7">ROUND(D53*E53,2)</f>
        <v>76.3</v>
      </c>
      <c r="L53" s="130">
        <f t="shared" si="3"/>
        <v>763</v>
      </c>
      <c r="M53" s="130">
        <f t="shared" si="4"/>
        <v>217.46</v>
      </c>
      <c r="N53" s="130">
        <f t="shared" si="5"/>
        <v>38.15</v>
      </c>
      <c r="O53" s="28">
        <f t="shared" si="6"/>
        <v>1018.61</v>
      </c>
      <c r="P53" s="199"/>
      <c r="Q53" s="203"/>
      <c r="R53" s="203"/>
      <c r="S53" s="203"/>
      <c r="T53" s="203"/>
      <c r="U53" s="203"/>
      <c r="V53" s="204"/>
    </row>
    <row r="54" spans="1:22">
      <c r="A54" s="133" t="s">
        <v>74</v>
      </c>
      <c r="B54" s="139" t="s">
        <v>111</v>
      </c>
      <c r="C54" s="135" t="s">
        <v>76</v>
      </c>
      <c r="D54" s="136">
        <v>76.3</v>
      </c>
      <c r="E54" s="128">
        <v>0.5</v>
      </c>
      <c r="F54" s="128">
        <v>10</v>
      </c>
      <c r="G54" s="129">
        <f t="shared" si="1"/>
        <v>5</v>
      </c>
      <c r="H54" s="128">
        <v>1.66</v>
      </c>
      <c r="I54" s="130">
        <v>0.5</v>
      </c>
      <c r="J54" s="131">
        <f t="shared" si="2"/>
        <v>7.16</v>
      </c>
      <c r="K54" s="132">
        <f t="shared" si="7"/>
        <v>38.15</v>
      </c>
      <c r="L54" s="130">
        <f t="shared" si="3"/>
        <v>381.5</v>
      </c>
      <c r="M54" s="130">
        <f t="shared" si="4"/>
        <v>126.66</v>
      </c>
      <c r="N54" s="130">
        <f t="shared" si="5"/>
        <v>38.15</v>
      </c>
      <c r="O54" s="28">
        <f t="shared" si="6"/>
        <v>546.30999999999995</v>
      </c>
      <c r="P54" s="199"/>
      <c r="Q54" s="203"/>
      <c r="R54" s="203"/>
      <c r="S54" s="203"/>
      <c r="T54" s="203"/>
      <c r="U54" s="203"/>
      <c r="V54" s="204"/>
    </row>
    <row r="55" spans="1:22" ht="31.5">
      <c r="A55" s="133" t="s">
        <v>77</v>
      </c>
      <c r="B55" s="139" t="s">
        <v>112</v>
      </c>
      <c r="C55" s="135" t="s">
        <v>76</v>
      </c>
      <c r="D55" s="136">
        <v>158</v>
      </c>
      <c r="E55" s="128">
        <v>1</v>
      </c>
      <c r="F55" s="128">
        <v>10</v>
      </c>
      <c r="G55" s="129">
        <f t="shared" si="1"/>
        <v>10</v>
      </c>
      <c r="H55" s="128">
        <v>3.05</v>
      </c>
      <c r="I55" s="130">
        <v>0.5</v>
      </c>
      <c r="J55" s="131">
        <f t="shared" si="2"/>
        <v>13.55</v>
      </c>
      <c r="K55" s="132">
        <f t="shared" si="7"/>
        <v>158</v>
      </c>
      <c r="L55" s="130">
        <f t="shared" si="3"/>
        <v>1580</v>
      </c>
      <c r="M55" s="130">
        <f t="shared" si="4"/>
        <v>481.9</v>
      </c>
      <c r="N55" s="130">
        <f t="shared" si="5"/>
        <v>79</v>
      </c>
      <c r="O55" s="28">
        <f t="shared" si="6"/>
        <v>2140.9</v>
      </c>
      <c r="P55" s="199"/>
      <c r="Q55" s="203"/>
      <c r="R55" s="203"/>
      <c r="S55" s="203"/>
      <c r="T55" s="203"/>
      <c r="U55" s="203"/>
      <c r="V55" s="204"/>
    </row>
    <row r="56" spans="1:22">
      <c r="A56" s="133" t="s">
        <v>79</v>
      </c>
      <c r="B56" s="139" t="s">
        <v>113</v>
      </c>
      <c r="C56" s="135" t="s">
        <v>76</v>
      </c>
      <c r="D56" s="136">
        <v>158</v>
      </c>
      <c r="E56" s="128">
        <v>0.5</v>
      </c>
      <c r="F56" s="128">
        <v>10</v>
      </c>
      <c r="G56" s="129">
        <f t="shared" si="1"/>
        <v>5</v>
      </c>
      <c r="H56" s="128">
        <v>2.04</v>
      </c>
      <c r="I56" s="130">
        <v>0.5</v>
      </c>
      <c r="J56" s="131">
        <f t="shared" si="2"/>
        <v>7.54</v>
      </c>
      <c r="K56" s="132">
        <f t="shared" si="7"/>
        <v>79</v>
      </c>
      <c r="L56" s="130">
        <f t="shared" si="3"/>
        <v>790</v>
      </c>
      <c r="M56" s="130">
        <f t="shared" si="4"/>
        <v>322.32</v>
      </c>
      <c r="N56" s="130">
        <f t="shared" si="5"/>
        <v>79</v>
      </c>
      <c r="O56" s="28">
        <f t="shared" si="6"/>
        <v>1191.32</v>
      </c>
      <c r="P56" s="199"/>
      <c r="Q56" s="203"/>
      <c r="R56" s="203"/>
      <c r="S56" s="203"/>
      <c r="T56" s="203"/>
      <c r="U56" s="203"/>
      <c r="V56" s="204"/>
    </row>
    <row r="57" spans="1:22" ht="47.25">
      <c r="A57" s="133" t="s">
        <v>82</v>
      </c>
      <c r="B57" s="139" t="s">
        <v>106</v>
      </c>
      <c r="C57" s="135" t="s">
        <v>76</v>
      </c>
      <c r="D57" s="136">
        <v>3.36</v>
      </c>
      <c r="E57" s="128">
        <v>10</v>
      </c>
      <c r="F57" s="128">
        <v>10</v>
      </c>
      <c r="G57" s="129">
        <f t="shared" si="1"/>
        <v>100</v>
      </c>
      <c r="H57" s="128">
        <v>32.200000000000003</v>
      </c>
      <c r="I57" s="130">
        <v>5.4</v>
      </c>
      <c r="J57" s="131">
        <f t="shared" si="2"/>
        <v>137.6</v>
      </c>
      <c r="K57" s="132">
        <f t="shared" si="7"/>
        <v>33.6</v>
      </c>
      <c r="L57" s="130">
        <f t="shared" si="3"/>
        <v>336</v>
      </c>
      <c r="M57" s="130">
        <f t="shared" si="4"/>
        <v>108.19</v>
      </c>
      <c r="N57" s="130">
        <f t="shared" si="5"/>
        <v>18.14</v>
      </c>
      <c r="O57" s="28">
        <f t="shared" si="6"/>
        <v>462.33</v>
      </c>
      <c r="P57" s="199"/>
      <c r="Q57" s="203"/>
      <c r="R57" s="203"/>
      <c r="S57" s="203"/>
      <c r="T57" s="203"/>
      <c r="U57" s="203"/>
      <c r="V57" s="204"/>
    </row>
    <row r="58" spans="1:22">
      <c r="A58" s="133"/>
      <c r="B58" s="152" t="s">
        <v>117</v>
      </c>
      <c r="C58" s="135"/>
      <c r="D58" s="136"/>
      <c r="E58" s="128"/>
      <c r="F58" s="128"/>
      <c r="G58" s="129"/>
      <c r="H58" s="128"/>
      <c r="I58" s="130"/>
      <c r="J58" s="131"/>
      <c r="K58" s="132"/>
      <c r="L58" s="130"/>
      <c r="M58" s="130"/>
      <c r="N58" s="130"/>
      <c r="O58" s="28"/>
      <c r="P58" s="199"/>
      <c r="Q58" s="203"/>
      <c r="R58" s="203"/>
      <c r="S58" s="203"/>
      <c r="T58" s="203"/>
      <c r="U58" s="203"/>
      <c r="V58" s="204"/>
    </row>
    <row r="59" spans="1:22" ht="47.25">
      <c r="A59" s="133" t="s">
        <v>39</v>
      </c>
      <c r="B59" s="139" t="s">
        <v>106</v>
      </c>
      <c r="C59" s="135" t="s">
        <v>76</v>
      </c>
      <c r="D59" s="136">
        <v>1.68</v>
      </c>
      <c r="E59" s="128">
        <v>10</v>
      </c>
      <c r="F59" s="128">
        <v>10</v>
      </c>
      <c r="G59" s="129">
        <f t="shared" si="1"/>
        <v>100</v>
      </c>
      <c r="H59" s="128">
        <v>32.200000000000003</v>
      </c>
      <c r="I59" s="130">
        <v>5.4</v>
      </c>
      <c r="J59" s="131">
        <f t="shared" si="2"/>
        <v>137.6</v>
      </c>
      <c r="K59" s="132">
        <f t="shared" si="7"/>
        <v>16.8</v>
      </c>
      <c r="L59" s="130">
        <f t="shared" si="3"/>
        <v>168</v>
      </c>
      <c r="M59" s="130">
        <f t="shared" si="4"/>
        <v>54.1</v>
      </c>
      <c r="N59" s="130">
        <f t="shared" si="5"/>
        <v>9.07</v>
      </c>
      <c r="O59" s="28">
        <f t="shared" si="6"/>
        <v>231.17</v>
      </c>
      <c r="P59" s="199"/>
      <c r="Q59" s="203"/>
      <c r="R59" s="203"/>
      <c r="S59" s="203"/>
      <c r="T59" s="203"/>
      <c r="U59" s="203"/>
      <c r="V59" s="204"/>
    </row>
    <row r="60" spans="1:22">
      <c r="A60" s="133"/>
      <c r="B60" s="153" t="s">
        <v>118</v>
      </c>
      <c r="C60" s="135"/>
      <c r="D60" s="154"/>
      <c r="E60" s="128"/>
      <c r="F60" s="128"/>
      <c r="G60" s="129"/>
      <c r="H60" s="128"/>
      <c r="I60" s="130"/>
      <c r="J60" s="131"/>
      <c r="K60" s="132"/>
      <c r="L60" s="130"/>
      <c r="M60" s="130"/>
      <c r="N60" s="130"/>
      <c r="O60" s="28"/>
      <c r="P60" s="199"/>
      <c r="Q60" s="203"/>
      <c r="R60" s="203"/>
      <c r="S60" s="203"/>
      <c r="T60" s="203"/>
      <c r="U60" s="203"/>
      <c r="V60" s="204"/>
    </row>
    <row r="61" spans="1:22" ht="31.5">
      <c r="A61" s="133" t="s">
        <v>79</v>
      </c>
      <c r="B61" s="137" t="s">
        <v>110</v>
      </c>
      <c r="C61" s="135" t="s">
        <v>76</v>
      </c>
      <c r="D61" s="136">
        <v>40</v>
      </c>
      <c r="E61" s="128">
        <v>1</v>
      </c>
      <c r="F61" s="128">
        <v>10</v>
      </c>
      <c r="G61" s="129">
        <f t="shared" si="1"/>
        <v>10</v>
      </c>
      <c r="H61" s="128">
        <v>2.85</v>
      </c>
      <c r="I61" s="130">
        <v>0.5</v>
      </c>
      <c r="J61" s="131">
        <f t="shared" si="2"/>
        <v>13.35</v>
      </c>
      <c r="K61" s="132">
        <f t="shared" si="7"/>
        <v>40</v>
      </c>
      <c r="L61" s="130">
        <f t="shared" si="3"/>
        <v>400</v>
      </c>
      <c r="M61" s="130">
        <f t="shared" si="4"/>
        <v>114</v>
      </c>
      <c r="N61" s="130">
        <f t="shared" si="5"/>
        <v>20</v>
      </c>
      <c r="O61" s="28">
        <f t="shared" si="6"/>
        <v>534</v>
      </c>
      <c r="P61" s="199"/>
      <c r="Q61" s="203"/>
      <c r="R61" s="203"/>
      <c r="S61" s="203"/>
      <c r="T61" s="203"/>
      <c r="U61" s="203"/>
      <c r="V61" s="204"/>
    </row>
    <row r="62" spans="1:22">
      <c r="A62" s="133" t="s">
        <v>82</v>
      </c>
      <c r="B62" s="139" t="s">
        <v>111</v>
      </c>
      <c r="C62" s="135" t="s">
        <v>76</v>
      </c>
      <c r="D62" s="136">
        <v>40</v>
      </c>
      <c r="E62" s="128">
        <v>0.5</v>
      </c>
      <c r="F62" s="128">
        <v>10</v>
      </c>
      <c r="G62" s="129">
        <f t="shared" si="1"/>
        <v>5</v>
      </c>
      <c r="H62" s="128">
        <v>1.66</v>
      </c>
      <c r="I62" s="130">
        <v>0.5</v>
      </c>
      <c r="J62" s="131">
        <f t="shared" si="2"/>
        <v>7.16</v>
      </c>
      <c r="K62" s="132">
        <f t="shared" si="7"/>
        <v>20</v>
      </c>
      <c r="L62" s="130">
        <f t="shared" si="3"/>
        <v>200</v>
      </c>
      <c r="M62" s="130">
        <f t="shared" si="4"/>
        <v>66.400000000000006</v>
      </c>
      <c r="N62" s="130">
        <f t="shared" si="5"/>
        <v>20</v>
      </c>
      <c r="O62" s="28">
        <f t="shared" si="6"/>
        <v>286.39999999999998</v>
      </c>
      <c r="P62" s="199"/>
      <c r="Q62" s="203"/>
      <c r="R62" s="203"/>
      <c r="S62" s="203"/>
      <c r="T62" s="203"/>
      <c r="U62" s="203"/>
      <c r="V62" s="204"/>
    </row>
    <row r="63" spans="1:22" ht="31.5">
      <c r="A63" s="133" t="s">
        <v>85</v>
      </c>
      <c r="B63" s="139" t="s">
        <v>112</v>
      </c>
      <c r="C63" s="135" t="s">
        <v>76</v>
      </c>
      <c r="D63" s="136">
        <v>141.69999999999999</v>
      </c>
      <c r="E63" s="128">
        <v>1</v>
      </c>
      <c r="F63" s="128">
        <v>10</v>
      </c>
      <c r="G63" s="129">
        <f t="shared" si="1"/>
        <v>10</v>
      </c>
      <c r="H63" s="128">
        <v>3.05</v>
      </c>
      <c r="I63" s="130">
        <v>0.5</v>
      </c>
      <c r="J63" s="131">
        <f t="shared" si="2"/>
        <v>13.55</v>
      </c>
      <c r="K63" s="132">
        <f t="shared" si="7"/>
        <v>141.69999999999999</v>
      </c>
      <c r="L63" s="130">
        <f t="shared" si="3"/>
        <v>1417</v>
      </c>
      <c r="M63" s="130">
        <f t="shared" si="4"/>
        <v>432.19</v>
      </c>
      <c r="N63" s="130">
        <f t="shared" si="5"/>
        <v>70.849999999999994</v>
      </c>
      <c r="O63" s="28">
        <f t="shared" si="6"/>
        <v>1920.04</v>
      </c>
      <c r="P63" s="199"/>
      <c r="Q63" s="203"/>
      <c r="R63" s="203"/>
      <c r="S63" s="203"/>
      <c r="T63" s="203"/>
      <c r="U63" s="203"/>
      <c r="V63" s="204"/>
    </row>
    <row r="64" spans="1:22">
      <c r="A64" s="133" t="s">
        <v>87</v>
      </c>
      <c r="B64" s="139" t="s">
        <v>113</v>
      </c>
      <c r="C64" s="135" t="s">
        <v>76</v>
      </c>
      <c r="D64" s="136">
        <v>141.69999999999999</v>
      </c>
      <c r="E64" s="128">
        <v>0.5</v>
      </c>
      <c r="F64" s="128">
        <v>10</v>
      </c>
      <c r="G64" s="129">
        <f t="shared" si="1"/>
        <v>5</v>
      </c>
      <c r="H64" s="128">
        <v>2.04</v>
      </c>
      <c r="I64" s="130">
        <v>0.5</v>
      </c>
      <c r="J64" s="131">
        <f t="shared" si="2"/>
        <v>7.54</v>
      </c>
      <c r="K64" s="132">
        <f t="shared" si="7"/>
        <v>70.849999999999994</v>
      </c>
      <c r="L64" s="130">
        <f t="shared" si="3"/>
        <v>708.5</v>
      </c>
      <c r="M64" s="130">
        <f t="shared" si="4"/>
        <v>289.07</v>
      </c>
      <c r="N64" s="130">
        <f t="shared" si="5"/>
        <v>70.849999999999994</v>
      </c>
      <c r="O64" s="28">
        <f t="shared" si="6"/>
        <v>1068.4199999999998</v>
      </c>
      <c r="P64" s="199"/>
      <c r="Q64" s="203"/>
      <c r="R64" s="203"/>
      <c r="S64" s="203"/>
      <c r="T64" s="203"/>
      <c r="U64" s="203"/>
      <c r="V64" s="204"/>
    </row>
    <row r="65" spans="1:22" ht="47.25">
      <c r="A65" s="133" t="s">
        <v>89</v>
      </c>
      <c r="B65" s="139" t="s">
        <v>106</v>
      </c>
      <c r="C65" s="135" t="s">
        <v>76</v>
      </c>
      <c r="D65" s="136">
        <v>3.36</v>
      </c>
      <c r="E65" s="128">
        <v>10</v>
      </c>
      <c r="F65" s="128">
        <v>10</v>
      </c>
      <c r="G65" s="129">
        <f t="shared" si="1"/>
        <v>100</v>
      </c>
      <c r="H65" s="128">
        <v>32.200000000000003</v>
      </c>
      <c r="I65" s="130">
        <v>5.4</v>
      </c>
      <c r="J65" s="131">
        <f t="shared" si="2"/>
        <v>137.6</v>
      </c>
      <c r="K65" s="132">
        <f t="shared" si="7"/>
        <v>33.6</v>
      </c>
      <c r="L65" s="130">
        <f t="shared" si="3"/>
        <v>336</v>
      </c>
      <c r="M65" s="130">
        <f t="shared" si="4"/>
        <v>108.19</v>
      </c>
      <c r="N65" s="130">
        <f t="shared" si="5"/>
        <v>18.14</v>
      </c>
      <c r="O65" s="28">
        <f t="shared" si="6"/>
        <v>462.33</v>
      </c>
      <c r="P65" s="199"/>
      <c r="Q65" s="203"/>
      <c r="R65" s="203"/>
      <c r="S65" s="203"/>
      <c r="T65" s="203"/>
      <c r="U65" s="203"/>
      <c r="V65" s="204"/>
    </row>
    <row r="66" spans="1:22">
      <c r="A66" s="133"/>
      <c r="B66" s="152" t="s">
        <v>119</v>
      </c>
      <c r="C66" s="135"/>
      <c r="D66" s="136"/>
      <c r="E66" s="128"/>
      <c r="F66" s="128"/>
      <c r="G66" s="129"/>
      <c r="H66" s="128"/>
      <c r="I66" s="130"/>
      <c r="J66" s="131"/>
      <c r="K66" s="132"/>
      <c r="L66" s="130"/>
      <c r="M66" s="130"/>
      <c r="N66" s="130"/>
      <c r="O66" s="28"/>
      <c r="P66" s="199"/>
      <c r="Q66" s="203"/>
      <c r="R66" s="203"/>
      <c r="S66" s="203"/>
      <c r="T66" s="203"/>
      <c r="U66" s="203"/>
      <c r="V66" s="204"/>
    </row>
    <row r="67" spans="1:22">
      <c r="A67" s="133" t="s">
        <v>39</v>
      </c>
      <c r="B67" s="134" t="s">
        <v>120</v>
      </c>
      <c r="C67" s="141" t="s">
        <v>76</v>
      </c>
      <c r="D67" s="136">
        <v>16.399999999999999</v>
      </c>
      <c r="E67" s="128">
        <v>1.25</v>
      </c>
      <c r="F67" s="128">
        <v>10</v>
      </c>
      <c r="G67" s="129">
        <f t="shared" si="1"/>
        <v>12.5</v>
      </c>
      <c r="H67" s="128">
        <v>2.82</v>
      </c>
      <c r="I67" s="130">
        <v>2.5</v>
      </c>
      <c r="J67" s="131">
        <f t="shared" si="2"/>
        <v>17.82</v>
      </c>
      <c r="K67" s="132">
        <f t="shared" si="7"/>
        <v>20.5</v>
      </c>
      <c r="L67" s="130">
        <f t="shared" si="3"/>
        <v>205</v>
      </c>
      <c r="M67" s="130">
        <f t="shared" si="4"/>
        <v>46.25</v>
      </c>
      <c r="N67" s="130">
        <f t="shared" si="5"/>
        <v>41</v>
      </c>
      <c r="O67" s="28">
        <f t="shared" si="6"/>
        <v>292.25</v>
      </c>
      <c r="P67" s="199"/>
      <c r="Q67" s="203"/>
      <c r="R67" s="203"/>
      <c r="S67" s="203"/>
      <c r="T67" s="203"/>
      <c r="U67" s="203"/>
      <c r="V67" s="204"/>
    </row>
    <row r="68" spans="1:22" ht="31.5">
      <c r="A68" s="133" t="s">
        <v>71</v>
      </c>
      <c r="B68" s="137" t="s">
        <v>110</v>
      </c>
      <c r="C68" s="141" t="s">
        <v>76</v>
      </c>
      <c r="D68" s="136">
        <v>16.399999999999999</v>
      </c>
      <c r="E68" s="128">
        <v>1</v>
      </c>
      <c r="F68" s="128">
        <v>10</v>
      </c>
      <c r="G68" s="129">
        <f t="shared" si="1"/>
        <v>10</v>
      </c>
      <c r="H68" s="128">
        <v>2.85</v>
      </c>
      <c r="I68" s="130">
        <v>0.5</v>
      </c>
      <c r="J68" s="131">
        <f t="shared" si="2"/>
        <v>13.35</v>
      </c>
      <c r="K68" s="132">
        <f t="shared" si="7"/>
        <v>16.399999999999999</v>
      </c>
      <c r="L68" s="130">
        <f t="shared" si="3"/>
        <v>164</v>
      </c>
      <c r="M68" s="130">
        <f t="shared" si="4"/>
        <v>46.74</v>
      </c>
      <c r="N68" s="130">
        <f t="shared" si="5"/>
        <v>8.1999999999999993</v>
      </c>
      <c r="O68" s="28">
        <f t="shared" si="6"/>
        <v>218.94</v>
      </c>
      <c r="P68" s="199"/>
      <c r="Q68" s="203"/>
      <c r="R68" s="203"/>
      <c r="S68" s="203"/>
      <c r="T68" s="203"/>
      <c r="U68" s="203"/>
      <c r="V68" s="204"/>
    </row>
    <row r="69" spans="1:22">
      <c r="A69" s="133" t="s">
        <v>74</v>
      </c>
      <c r="B69" s="139" t="s">
        <v>111</v>
      </c>
      <c r="C69" s="141" t="s">
        <v>76</v>
      </c>
      <c r="D69" s="136">
        <v>16.399999999999999</v>
      </c>
      <c r="E69" s="128">
        <v>0.5</v>
      </c>
      <c r="F69" s="128">
        <v>10</v>
      </c>
      <c r="G69" s="129">
        <f t="shared" si="1"/>
        <v>5</v>
      </c>
      <c r="H69" s="128">
        <v>1.66</v>
      </c>
      <c r="I69" s="130">
        <v>0.5</v>
      </c>
      <c r="J69" s="131">
        <f t="shared" si="2"/>
        <v>7.16</v>
      </c>
      <c r="K69" s="132">
        <f t="shared" si="7"/>
        <v>8.1999999999999993</v>
      </c>
      <c r="L69" s="130">
        <f t="shared" si="3"/>
        <v>82</v>
      </c>
      <c r="M69" s="130">
        <f t="shared" si="4"/>
        <v>27.22</v>
      </c>
      <c r="N69" s="130">
        <f t="shared" si="5"/>
        <v>8.1999999999999993</v>
      </c>
      <c r="O69" s="28">
        <f t="shared" si="6"/>
        <v>117.42</v>
      </c>
      <c r="P69" s="199"/>
      <c r="Q69" s="203"/>
      <c r="R69" s="203"/>
      <c r="S69" s="203"/>
      <c r="T69" s="203"/>
      <c r="U69" s="203"/>
      <c r="V69" s="204"/>
    </row>
    <row r="70" spans="1:22" ht="31.5">
      <c r="A70" s="133" t="s">
        <v>77</v>
      </c>
      <c r="B70" s="139" t="s">
        <v>112</v>
      </c>
      <c r="C70" s="141" t="s">
        <v>76</v>
      </c>
      <c r="D70" s="136">
        <v>51.1</v>
      </c>
      <c r="E70" s="128">
        <v>1</v>
      </c>
      <c r="F70" s="128">
        <v>10</v>
      </c>
      <c r="G70" s="129">
        <f t="shared" si="1"/>
        <v>10</v>
      </c>
      <c r="H70" s="128">
        <v>3.05</v>
      </c>
      <c r="I70" s="130">
        <v>0.5</v>
      </c>
      <c r="J70" s="131">
        <f t="shared" si="2"/>
        <v>13.55</v>
      </c>
      <c r="K70" s="132">
        <f t="shared" si="7"/>
        <v>51.1</v>
      </c>
      <c r="L70" s="130">
        <f t="shared" si="3"/>
        <v>511</v>
      </c>
      <c r="M70" s="130">
        <f t="shared" si="4"/>
        <v>155.86000000000001</v>
      </c>
      <c r="N70" s="130">
        <f t="shared" si="5"/>
        <v>25.55</v>
      </c>
      <c r="O70" s="28">
        <f t="shared" si="6"/>
        <v>692.41</v>
      </c>
      <c r="P70" s="199"/>
      <c r="Q70" s="203"/>
      <c r="R70" s="203"/>
      <c r="S70" s="203"/>
      <c r="T70" s="203"/>
      <c r="U70" s="203"/>
      <c r="V70" s="204"/>
    </row>
    <row r="71" spans="1:22">
      <c r="A71" s="133" t="s">
        <v>79</v>
      </c>
      <c r="B71" s="139" t="s">
        <v>113</v>
      </c>
      <c r="C71" s="141" t="s">
        <v>76</v>
      </c>
      <c r="D71" s="136">
        <v>51.1</v>
      </c>
      <c r="E71" s="128">
        <v>0.5</v>
      </c>
      <c r="F71" s="128">
        <v>10</v>
      </c>
      <c r="G71" s="129">
        <f t="shared" si="1"/>
        <v>5</v>
      </c>
      <c r="H71" s="128">
        <v>2.04</v>
      </c>
      <c r="I71" s="130">
        <v>0.5</v>
      </c>
      <c r="J71" s="131">
        <f t="shared" si="2"/>
        <v>7.54</v>
      </c>
      <c r="K71" s="132">
        <f t="shared" si="7"/>
        <v>25.55</v>
      </c>
      <c r="L71" s="130">
        <f t="shared" si="3"/>
        <v>255.5</v>
      </c>
      <c r="M71" s="130">
        <f t="shared" si="4"/>
        <v>104.24</v>
      </c>
      <c r="N71" s="130">
        <f t="shared" si="5"/>
        <v>25.55</v>
      </c>
      <c r="O71" s="28">
        <f t="shared" si="6"/>
        <v>385.29</v>
      </c>
      <c r="P71" s="199"/>
      <c r="Q71" s="203"/>
      <c r="R71" s="203"/>
      <c r="S71" s="203"/>
      <c r="T71" s="203"/>
      <c r="U71" s="203"/>
      <c r="V71" s="204"/>
    </row>
    <row r="72" spans="1:22" ht="47.25">
      <c r="A72" s="133" t="s">
        <v>82</v>
      </c>
      <c r="B72" s="139" t="s">
        <v>106</v>
      </c>
      <c r="C72" s="141" t="s">
        <v>76</v>
      </c>
      <c r="D72" s="136">
        <v>2.73</v>
      </c>
      <c r="E72" s="128">
        <v>10</v>
      </c>
      <c r="F72" s="128">
        <v>10</v>
      </c>
      <c r="G72" s="129">
        <f t="shared" si="1"/>
        <v>100</v>
      </c>
      <c r="H72" s="128">
        <v>32.200000000000003</v>
      </c>
      <c r="I72" s="130">
        <v>5.4</v>
      </c>
      <c r="J72" s="131">
        <f t="shared" si="2"/>
        <v>137.6</v>
      </c>
      <c r="K72" s="132">
        <f t="shared" si="7"/>
        <v>27.3</v>
      </c>
      <c r="L72" s="130">
        <f t="shared" si="3"/>
        <v>273</v>
      </c>
      <c r="M72" s="130">
        <f t="shared" si="4"/>
        <v>87.91</v>
      </c>
      <c r="N72" s="130">
        <f t="shared" si="5"/>
        <v>14.74</v>
      </c>
      <c r="O72" s="28">
        <f t="shared" si="6"/>
        <v>375.65</v>
      </c>
      <c r="P72" s="199"/>
      <c r="Q72" s="203"/>
      <c r="R72" s="203"/>
      <c r="S72" s="203"/>
      <c r="T72" s="203"/>
      <c r="U72" s="203"/>
      <c r="V72" s="204"/>
    </row>
    <row r="73" spans="1:22">
      <c r="A73" s="133"/>
      <c r="B73" s="153" t="s">
        <v>121</v>
      </c>
      <c r="C73" s="135"/>
      <c r="D73" s="136"/>
      <c r="E73" s="128"/>
      <c r="F73" s="154"/>
      <c r="G73" s="129"/>
      <c r="H73" s="128"/>
      <c r="I73" s="130"/>
      <c r="J73" s="131"/>
      <c r="K73" s="132"/>
      <c r="L73" s="130"/>
      <c r="M73" s="130"/>
      <c r="N73" s="130"/>
      <c r="O73" s="28"/>
      <c r="P73" s="199"/>
      <c r="Q73" s="203"/>
      <c r="R73" s="203"/>
      <c r="S73" s="203"/>
      <c r="T73" s="203"/>
      <c r="U73" s="203"/>
      <c r="V73" s="204"/>
    </row>
    <row r="74" spans="1:22" ht="31.5">
      <c r="A74" s="133" t="s">
        <v>39</v>
      </c>
      <c r="B74" s="139" t="s">
        <v>122</v>
      </c>
      <c r="C74" s="135" t="s">
        <v>76</v>
      </c>
      <c r="D74" s="136">
        <v>25.7</v>
      </c>
      <c r="E74" s="128">
        <v>0.9</v>
      </c>
      <c r="F74" s="128">
        <v>10</v>
      </c>
      <c r="G74" s="129">
        <f t="shared" si="1"/>
        <v>9</v>
      </c>
      <c r="H74" s="128">
        <v>10.199999999999999</v>
      </c>
      <c r="I74" s="130">
        <v>1.5</v>
      </c>
      <c r="J74" s="131">
        <f t="shared" ref="J74:J79" si="8">SUM(G74:I74)</f>
        <v>20.7</v>
      </c>
      <c r="K74" s="132">
        <f t="shared" si="7"/>
        <v>23.13</v>
      </c>
      <c r="L74" s="130">
        <f t="shared" si="3"/>
        <v>231.3</v>
      </c>
      <c r="M74" s="130">
        <f t="shared" si="4"/>
        <v>262.14</v>
      </c>
      <c r="N74" s="130">
        <f t="shared" si="5"/>
        <v>38.549999999999997</v>
      </c>
      <c r="O74" s="28">
        <f t="shared" si="6"/>
        <v>531.99</v>
      </c>
      <c r="P74" s="199"/>
      <c r="Q74" s="203"/>
      <c r="R74" s="203"/>
      <c r="S74" s="203"/>
      <c r="T74" s="203"/>
      <c r="U74" s="203"/>
      <c r="V74" s="204"/>
    </row>
    <row r="75" spans="1:22" ht="31.5">
      <c r="A75" s="133" t="s">
        <v>71</v>
      </c>
      <c r="B75" s="137" t="s">
        <v>110</v>
      </c>
      <c r="C75" s="135" t="s">
        <v>76</v>
      </c>
      <c r="D75" s="136">
        <v>25.7</v>
      </c>
      <c r="E75" s="128">
        <v>1</v>
      </c>
      <c r="F75" s="128">
        <v>10</v>
      </c>
      <c r="G75" s="129">
        <f>ROUND(E75*F75,2)</f>
        <v>10</v>
      </c>
      <c r="H75" s="128">
        <v>2.85</v>
      </c>
      <c r="I75" s="130">
        <v>0.5</v>
      </c>
      <c r="J75" s="131">
        <f t="shared" si="8"/>
        <v>13.35</v>
      </c>
      <c r="K75" s="132">
        <f t="shared" si="7"/>
        <v>25.7</v>
      </c>
      <c r="L75" s="130">
        <f>ROUND(D75*G75,2)</f>
        <v>257</v>
      </c>
      <c r="M75" s="130">
        <f>ROUND(D75*H75,2)</f>
        <v>73.25</v>
      </c>
      <c r="N75" s="130">
        <f>ROUND(D75*I75,2)</f>
        <v>12.85</v>
      </c>
      <c r="O75" s="28">
        <f>SUM(L75:N75)</f>
        <v>343.1</v>
      </c>
      <c r="P75" s="199"/>
      <c r="Q75" s="203"/>
      <c r="R75" s="203"/>
      <c r="S75" s="203"/>
      <c r="T75" s="203"/>
      <c r="U75" s="203"/>
      <c r="V75" s="204"/>
    </row>
    <row r="76" spans="1:22">
      <c r="A76" s="133" t="s">
        <v>74</v>
      </c>
      <c r="B76" s="139" t="s">
        <v>111</v>
      </c>
      <c r="C76" s="135" t="s">
        <v>76</v>
      </c>
      <c r="D76" s="136">
        <v>25.7</v>
      </c>
      <c r="E76" s="128">
        <v>0.5</v>
      </c>
      <c r="F76" s="128">
        <v>10</v>
      </c>
      <c r="G76" s="129">
        <f>ROUND(E76*F76,2)</f>
        <v>5</v>
      </c>
      <c r="H76" s="128">
        <v>1.66</v>
      </c>
      <c r="I76" s="130">
        <v>0.5</v>
      </c>
      <c r="J76" s="131">
        <f t="shared" si="8"/>
        <v>7.16</v>
      </c>
      <c r="K76" s="132">
        <f t="shared" si="7"/>
        <v>12.85</v>
      </c>
      <c r="L76" s="130">
        <f>ROUND(D76*G76,2)</f>
        <v>128.5</v>
      </c>
      <c r="M76" s="130">
        <f>ROUND(D76*H76,2)</f>
        <v>42.66</v>
      </c>
      <c r="N76" s="130">
        <f>ROUND(D76*I76,2)</f>
        <v>12.85</v>
      </c>
      <c r="O76" s="28">
        <f>SUM(L76:N76)</f>
        <v>184.01</v>
      </c>
      <c r="P76" s="199"/>
      <c r="Q76" s="203"/>
      <c r="R76" s="203"/>
      <c r="S76" s="203"/>
      <c r="T76" s="203"/>
      <c r="U76" s="203"/>
      <c r="V76" s="204"/>
    </row>
    <row r="77" spans="1:22" ht="31.5">
      <c r="A77" s="133" t="s">
        <v>77</v>
      </c>
      <c r="B77" s="139" t="s">
        <v>112</v>
      </c>
      <c r="C77" s="135" t="s">
        <v>76</v>
      </c>
      <c r="D77" s="136">
        <v>68.5</v>
      </c>
      <c r="E77" s="128">
        <v>1</v>
      </c>
      <c r="F77" s="128">
        <v>10</v>
      </c>
      <c r="G77" s="129">
        <f>ROUND(E77*F77,2)</f>
        <v>10</v>
      </c>
      <c r="H77" s="128">
        <v>3.05</v>
      </c>
      <c r="I77" s="130">
        <v>0.5</v>
      </c>
      <c r="J77" s="131">
        <f t="shared" si="8"/>
        <v>13.55</v>
      </c>
      <c r="K77" s="132">
        <f t="shared" si="7"/>
        <v>68.5</v>
      </c>
      <c r="L77" s="130">
        <f>ROUND(D77*G77,2)</f>
        <v>685</v>
      </c>
      <c r="M77" s="130">
        <f>ROUND(D77*H77,2)</f>
        <v>208.93</v>
      </c>
      <c r="N77" s="130">
        <f>ROUND(D77*I77,2)</f>
        <v>34.25</v>
      </c>
      <c r="O77" s="28">
        <f>SUM(L77:N77)</f>
        <v>928.18000000000006</v>
      </c>
      <c r="P77" s="199"/>
      <c r="Q77" s="203"/>
      <c r="R77" s="203"/>
      <c r="S77" s="203"/>
      <c r="T77" s="203"/>
      <c r="U77" s="203"/>
      <c r="V77" s="204"/>
    </row>
    <row r="78" spans="1:22">
      <c r="A78" s="133" t="s">
        <v>79</v>
      </c>
      <c r="B78" s="139" t="s">
        <v>113</v>
      </c>
      <c r="C78" s="135" t="s">
        <v>76</v>
      </c>
      <c r="D78" s="136">
        <v>68.5</v>
      </c>
      <c r="E78" s="128">
        <v>0.5</v>
      </c>
      <c r="F78" s="128">
        <v>10</v>
      </c>
      <c r="G78" s="129">
        <f>ROUND(E78*F78,2)</f>
        <v>5</v>
      </c>
      <c r="H78" s="128">
        <v>2.04</v>
      </c>
      <c r="I78" s="130">
        <v>0.5</v>
      </c>
      <c r="J78" s="131">
        <f t="shared" si="8"/>
        <v>7.54</v>
      </c>
      <c r="K78" s="132">
        <f t="shared" si="7"/>
        <v>34.25</v>
      </c>
      <c r="L78" s="130">
        <f>ROUND(D78*G78,2)</f>
        <v>342.5</v>
      </c>
      <c r="M78" s="130">
        <f>ROUND(D78*H78,2)</f>
        <v>139.74</v>
      </c>
      <c r="N78" s="130">
        <f>ROUND(D78*I78,2)</f>
        <v>34.25</v>
      </c>
      <c r="O78" s="28">
        <f>SUM(L78:N78)</f>
        <v>516.49</v>
      </c>
      <c r="P78" s="199"/>
      <c r="Q78" s="203"/>
      <c r="R78" s="203"/>
      <c r="S78" s="203"/>
      <c r="T78" s="203"/>
      <c r="U78" s="203"/>
      <c r="V78" s="204"/>
    </row>
    <row r="79" spans="1:22" ht="47.25">
      <c r="A79" s="133" t="s">
        <v>82</v>
      </c>
      <c r="B79" s="139" t="s">
        <v>106</v>
      </c>
      <c r="C79" s="135" t="s">
        <v>76</v>
      </c>
      <c r="D79" s="136">
        <v>1.89</v>
      </c>
      <c r="E79" s="128">
        <v>10</v>
      </c>
      <c r="F79" s="128">
        <v>10</v>
      </c>
      <c r="G79" s="129">
        <f>ROUND(E79*F79,2)</f>
        <v>100</v>
      </c>
      <c r="H79" s="128">
        <v>32.200000000000003</v>
      </c>
      <c r="I79" s="130">
        <v>5.4</v>
      </c>
      <c r="J79" s="131">
        <f t="shared" si="8"/>
        <v>137.6</v>
      </c>
      <c r="K79" s="132">
        <f>ROUND(D79*E79,2)</f>
        <v>18.899999999999999</v>
      </c>
      <c r="L79" s="130">
        <f>ROUND(D79*G79,2)</f>
        <v>189</v>
      </c>
      <c r="M79" s="130">
        <f>ROUND(D79*H79,2)</f>
        <v>60.86</v>
      </c>
      <c r="N79" s="130">
        <f>ROUND(D79*I79,2)</f>
        <v>10.210000000000001</v>
      </c>
      <c r="O79" s="28">
        <f>SUM(L79:N79)</f>
        <v>260.07</v>
      </c>
      <c r="P79" s="199"/>
      <c r="Q79" s="203"/>
      <c r="R79" s="203"/>
      <c r="S79" s="203"/>
      <c r="T79" s="203"/>
      <c r="U79" s="203"/>
      <c r="V79" s="204"/>
    </row>
    <row r="80" spans="1:22" ht="63">
      <c r="A80" s="71"/>
      <c r="B80" s="72" t="s">
        <v>123</v>
      </c>
      <c r="C80" s="69"/>
      <c r="D80" s="74"/>
      <c r="E80" s="63"/>
      <c r="F80" s="74"/>
      <c r="G80" s="64"/>
      <c r="H80" s="63"/>
      <c r="I80" s="65"/>
      <c r="J80" s="66"/>
      <c r="K80" s="67"/>
      <c r="L80" s="65"/>
      <c r="M80" s="65"/>
      <c r="N80" s="65"/>
      <c r="O80" s="30"/>
      <c r="P80" s="199"/>
      <c r="Q80" s="203"/>
      <c r="R80" s="203"/>
      <c r="S80" s="203"/>
      <c r="T80" s="203"/>
      <c r="U80" s="203"/>
      <c r="V80" s="204"/>
    </row>
    <row r="81" spans="1:22">
      <c r="A81" s="155">
        <v>1</v>
      </c>
      <c r="B81" s="139" t="s">
        <v>124</v>
      </c>
      <c r="C81" s="135" t="s">
        <v>76</v>
      </c>
      <c r="D81" s="136">
        <v>1300</v>
      </c>
      <c r="E81" s="128">
        <v>0.35</v>
      </c>
      <c r="F81" s="128">
        <v>10</v>
      </c>
      <c r="G81" s="129">
        <f>F81*E81</f>
        <v>3.5</v>
      </c>
      <c r="H81" s="128">
        <v>0</v>
      </c>
      <c r="I81" s="130">
        <v>1</v>
      </c>
      <c r="J81" s="131">
        <f t="shared" ref="J81:J87" si="9">SUM(G81:I81)</f>
        <v>4.5</v>
      </c>
      <c r="K81" s="132">
        <f t="shared" ref="K81:K87" si="10">ROUND(D81*E81,2)</f>
        <v>455</v>
      </c>
      <c r="L81" s="130">
        <f t="shared" ref="L81:L87" si="11">ROUND(D81*G81,2)</f>
        <v>4550</v>
      </c>
      <c r="M81" s="130">
        <f t="shared" ref="M81:M87" si="12">ROUND(D81*H81,2)</f>
        <v>0</v>
      </c>
      <c r="N81" s="130">
        <f t="shared" ref="N81:N87" si="13">ROUND(D81*I81,2)</f>
        <v>1300</v>
      </c>
      <c r="O81" s="28">
        <f t="shared" ref="O81:O87" si="14">SUM(L81:N81)</f>
        <v>5850</v>
      </c>
      <c r="P81" s="199"/>
      <c r="Q81" s="203"/>
      <c r="R81" s="203"/>
      <c r="S81" s="203"/>
      <c r="T81" s="203"/>
      <c r="U81" s="203"/>
      <c r="V81" s="204"/>
    </row>
    <row r="82" spans="1:22">
      <c r="A82" s="155">
        <v>2</v>
      </c>
      <c r="B82" s="139" t="s">
        <v>125</v>
      </c>
      <c r="C82" s="135" t="s">
        <v>73</v>
      </c>
      <c r="D82" s="136">
        <f>D81*0.1*1.3</f>
        <v>169</v>
      </c>
      <c r="E82" s="128">
        <v>2</v>
      </c>
      <c r="F82" s="128">
        <v>10</v>
      </c>
      <c r="G82" s="129">
        <f>F82*E82</f>
        <v>20</v>
      </c>
      <c r="H82" s="128">
        <v>0</v>
      </c>
      <c r="I82" s="130">
        <v>22</v>
      </c>
      <c r="J82" s="131">
        <f t="shared" si="9"/>
        <v>42</v>
      </c>
      <c r="K82" s="132">
        <f t="shared" si="10"/>
        <v>338</v>
      </c>
      <c r="L82" s="130">
        <f t="shared" si="11"/>
        <v>3380</v>
      </c>
      <c r="M82" s="130">
        <f t="shared" si="12"/>
        <v>0</v>
      </c>
      <c r="N82" s="130">
        <f t="shared" si="13"/>
        <v>3718</v>
      </c>
      <c r="O82" s="28">
        <f t="shared" si="14"/>
        <v>7098</v>
      </c>
      <c r="P82" s="199"/>
      <c r="Q82" s="203"/>
      <c r="R82" s="203"/>
      <c r="S82" s="203"/>
      <c r="T82" s="203"/>
      <c r="U82" s="203"/>
      <c r="V82" s="204"/>
    </row>
    <row r="83" spans="1:22">
      <c r="A83" s="155">
        <v>3</v>
      </c>
      <c r="B83" s="139" t="s">
        <v>126</v>
      </c>
      <c r="C83" s="135" t="s">
        <v>73</v>
      </c>
      <c r="D83" s="136">
        <f>D81*0.4*1.35</f>
        <v>702</v>
      </c>
      <c r="E83" s="128">
        <v>1.5</v>
      </c>
      <c r="F83" s="128">
        <v>10</v>
      </c>
      <c r="G83" s="129">
        <f>ROUND(E83*F83,2)</f>
        <v>15</v>
      </c>
      <c r="H83" s="128">
        <v>0</v>
      </c>
      <c r="I83" s="130">
        <v>22</v>
      </c>
      <c r="J83" s="131">
        <f t="shared" si="9"/>
        <v>37</v>
      </c>
      <c r="K83" s="132">
        <f t="shared" si="10"/>
        <v>1053</v>
      </c>
      <c r="L83" s="130">
        <f t="shared" si="11"/>
        <v>10530</v>
      </c>
      <c r="M83" s="130">
        <f t="shared" si="12"/>
        <v>0</v>
      </c>
      <c r="N83" s="130">
        <f t="shared" si="13"/>
        <v>15444</v>
      </c>
      <c r="O83" s="28">
        <f t="shared" si="14"/>
        <v>25974</v>
      </c>
      <c r="P83" s="199"/>
      <c r="Q83" s="203"/>
      <c r="R83" s="203"/>
      <c r="S83" s="203"/>
      <c r="T83" s="203"/>
      <c r="U83" s="203"/>
      <c r="V83" s="204"/>
    </row>
    <row r="84" spans="1:22">
      <c r="A84" s="155">
        <v>4</v>
      </c>
      <c r="B84" s="139" t="s">
        <v>127</v>
      </c>
      <c r="C84" s="141" t="s">
        <v>73</v>
      </c>
      <c r="D84" s="136">
        <f>D81*0.1*1.35</f>
        <v>175.5</v>
      </c>
      <c r="E84" s="128">
        <v>2</v>
      </c>
      <c r="F84" s="128">
        <v>10</v>
      </c>
      <c r="G84" s="129">
        <f>ROUND(E84*F84,2)</f>
        <v>20</v>
      </c>
      <c r="H84" s="128">
        <v>19</v>
      </c>
      <c r="I84" s="130">
        <v>9</v>
      </c>
      <c r="J84" s="131">
        <f t="shared" si="9"/>
        <v>48</v>
      </c>
      <c r="K84" s="132">
        <f t="shared" si="10"/>
        <v>351</v>
      </c>
      <c r="L84" s="130">
        <f t="shared" si="11"/>
        <v>3510</v>
      </c>
      <c r="M84" s="130">
        <f t="shared" si="12"/>
        <v>3334.5</v>
      </c>
      <c r="N84" s="130">
        <f t="shared" si="13"/>
        <v>1579.5</v>
      </c>
      <c r="O84" s="28">
        <f t="shared" si="14"/>
        <v>8424</v>
      </c>
      <c r="P84" s="199"/>
      <c r="Q84" s="203"/>
      <c r="R84" s="203"/>
      <c r="S84" s="203"/>
      <c r="T84" s="203"/>
      <c r="U84" s="203"/>
      <c r="V84" s="204"/>
    </row>
    <row r="85" spans="1:22">
      <c r="A85" s="155">
        <v>5</v>
      </c>
      <c r="B85" s="139" t="s">
        <v>128</v>
      </c>
      <c r="C85" s="141" t="s">
        <v>76</v>
      </c>
      <c r="D85" s="136">
        <f>D81</f>
        <v>1300</v>
      </c>
      <c r="E85" s="128">
        <v>1</v>
      </c>
      <c r="F85" s="128">
        <v>10</v>
      </c>
      <c r="G85" s="129">
        <f>ROUND(E85*F85,2)</f>
        <v>10</v>
      </c>
      <c r="H85" s="128">
        <v>17</v>
      </c>
      <c r="I85" s="130">
        <v>0.9</v>
      </c>
      <c r="J85" s="131">
        <f t="shared" si="9"/>
        <v>27.9</v>
      </c>
      <c r="K85" s="132">
        <f t="shared" si="10"/>
        <v>1300</v>
      </c>
      <c r="L85" s="130">
        <f t="shared" si="11"/>
        <v>13000</v>
      </c>
      <c r="M85" s="130">
        <f t="shared" si="12"/>
        <v>22100</v>
      </c>
      <c r="N85" s="130">
        <f t="shared" si="13"/>
        <v>1170</v>
      </c>
      <c r="O85" s="28">
        <f t="shared" si="14"/>
        <v>36270</v>
      </c>
      <c r="P85" s="199"/>
      <c r="Q85" s="203"/>
      <c r="R85" s="203"/>
      <c r="S85" s="203"/>
      <c r="T85" s="203"/>
      <c r="U85" s="203"/>
      <c r="V85" s="204"/>
    </row>
    <row r="86" spans="1:22">
      <c r="A86" s="155">
        <v>6</v>
      </c>
      <c r="B86" s="139" t="s">
        <v>129</v>
      </c>
      <c r="C86" s="141" t="s">
        <v>76</v>
      </c>
      <c r="D86" s="136">
        <f>D81</f>
        <v>1300</v>
      </c>
      <c r="E86" s="128">
        <v>0.2</v>
      </c>
      <c r="F86" s="128">
        <v>10</v>
      </c>
      <c r="G86" s="129">
        <f>ROUND(E86*F86,2)</f>
        <v>2</v>
      </c>
      <c r="H86" s="128">
        <v>9</v>
      </c>
      <c r="I86" s="130">
        <v>0.1</v>
      </c>
      <c r="J86" s="131">
        <f t="shared" si="9"/>
        <v>11.1</v>
      </c>
      <c r="K86" s="132">
        <f t="shared" si="10"/>
        <v>260</v>
      </c>
      <c r="L86" s="130">
        <f t="shared" si="11"/>
        <v>2600</v>
      </c>
      <c r="M86" s="130">
        <f t="shared" si="12"/>
        <v>11700</v>
      </c>
      <c r="N86" s="130">
        <f t="shared" si="13"/>
        <v>130</v>
      </c>
      <c r="O86" s="28">
        <f t="shared" si="14"/>
        <v>14430</v>
      </c>
      <c r="P86" s="199"/>
      <c r="Q86" s="203"/>
      <c r="R86" s="203"/>
      <c r="S86" s="203"/>
      <c r="T86" s="203"/>
      <c r="U86" s="203"/>
      <c r="V86" s="204"/>
    </row>
    <row r="87" spans="1:22" ht="31.5">
      <c r="A87" s="155">
        <v>7</v>
      </c>
      <c r="B87" s="139" t="s">
        <v>130</v>
      </c>
      <c r="C87" s="141" t="s">
        <v>76</v>
      </c>
      <c r="D87" s="136">
        <f>D81</f>
        <v>1300</v>
      </c>
      <c r="E87" s="128">
        <v>1.4</v>
      </c>
      <c r="F87" s="128">
        <v>10</v>
      </c>
      <c r="G87" s="129">
        <f>ROUND(E87*F87,2)</f>
        <v>14</v>
      </c>
      <c r="H87" s="128">
        <v>15</v>
      </c>
      <c r="I87" s="130">
        <v>2</v>
      </c>
      <c r="J87" s="131">
        <f t="shared" si="9"/>
        <v>31</v>
      </c>
      <c r="K87" s="132">
        <f t="shared" si="10"/>
        <v>1820</v>
      </c>
      <c r="L87" s="130">
        <f t="shared" si="11"/>
        <v>18200</v>
      </c>
      <c r="M87" s="130">
        <f t="shared" si="12"/>
        <v>19500</v>
      </c>
      <c r="N87" s="130">
        <f t="shared" si="13"/>
        <v>2600</v>
      </c>
      <c r="O87" s="28">
        <f t="shared" si="14"/>
        <v>40300</v>
      </c>
      <c r="P87" s="199"/>
      <c r="Q87" s="203"/>
      <c r="R87" s="203"/>
      <c r="S87" s="203"/>
      <c r="T87" s="203"/>
      <c r="U87" s="203"/>
      <c r="V87" s="204"/>
    </row>
    <row r="88" spans="1:22" ht="19.5" customHeight="1">
      <c r="A88" s="71"/>
      <c r="B88" s="72" t="s">
        <v>131</v>
      </c>
      <c r="C88" s="69"/>
      <c r="D88" s="74"/>
      <c r="E88" s="63"/>
      <c r="F88" s="74"/>
      <c r="G88" s="64"/>
      <c r="H88" s="63"/>
      <c r="I88" s="65"/>
      <c r="J88" s="66"/>
      <c r="K88" s="67"/>
      <c r="L88" s="65"/>
      <c r="M88" s="65"/>
      <c r="N88" s="65"/>
      <c r="O88" s="30"/>
      <c r="P88" s="199"/>
      <c r="Q88" s="203"/>
      <c r="R88" s="203"/>
      <c r="S88" s="203"/>
      <c r="T88" s="203"/>
      <c r="U88" s="203"/>
      <c r="V88" s="204"/>
    </row>
    <row r="89" spans="1:22" ht="31.5">
      <c r="A89" s="155">
        <v>1</v>
      </c>
      <c r="B89" s="139" t="s">
        <v>132</v>
      </c>
      <c r="C89" s="141" t="s">
        <v>76</v>
      </c>
      <c r="D89" s="136">
        <v>305</v>
      </c>
      <c r="E89" s="128">
        <v>10</v>
      </c>
      <c r="F89" s="128">
        <v>10</v>
      </c>
      <c r="G89" s="129">
        <f>ROUND(E89*F89,2)</f>
        <v>100</v>
      </c>
      <c r="H89" s="128">
        <v>150</v>
      </c>
      <c r="I89" s="130">
        <v>6</v>
      </c>
      <c r="J89" s="131">
        <f>SUM(G89:I89)</f>
        <v>256</v>
      </c>
      <c r="K89" s="132">
        <f>ROUND(D89*E89,2)</f>
        <v>3050</v>
      </c>
      <c r="L89" s="130">
        <f>ROUND(D89*G89,2)</f>
        <v>30500</v>
      </c>
      <c r="M89" s="130">
        <f>ROUND(D89*H89,2)</f>
        <v>45750</v>
      </c>
      <c r="N89" s="130">
        <f>ROUND(D89*I89,2)</f>
        <v>1830</v>
      </c>
      <c r="O89" s="28">
        <f>SUM(L89:N89)</f>
        <v>78080</v>
      </c>
      <c r="P89" s="199"/>
      <c r="Q89" s="203"/>
      <c r="R89" s="203"/>
      <c r="S89" s="203"/>
      <c r="T89" s="203"/>
      <c r="U89" s="203"/>
      <c r="V89" s="204"/>
    </row>
    <row r="90" spans="1:22">
      <c r="A90" s="35"/>
      <c r="B90" s="33" t="s">
        <v>43</v>
      </c>
      <c r="C90" s="32"/>
      <c r="D90" s="70"/>
      <c r="E90" s="63"/>
      <c r="F90" s="63"/>
      <c r="G90" s="64"/>
      <c r="H90" s="63"/>
      <c r="I90" s="65"/>
      <c r="J90" s="66"/>
      <c r="K90" s="67"/>
      <c r="L90" s="65"/>
      <c r="M90" s="65"/>
      <c r="N90" s="65"/>
      <c r="O90" s="30"/>
      <c r="P90" s="199"/>
      <c r="Q90" s="203"/>
      <c r="R90" s="203"/>
      <c r="S90" s="203"/>
      <c r="T90" s="203"/>
      <c r="U90" s="203"/>
      <c r="V90" s="204"/>
    </row>
    <row r="91" spans="1:22">
      <c r="A91" s="155">
        <v>1</v>
      </c>
      <c r="B91" s="139" t="s">
        <v>133</v>
      </c>
      <c r="C91" s="141" t="s">
        <v>76</v>
      </c>
      <c r="D91" s="136">
        <v>8500</v>
      </c>
      <c r="E91" s="128"/>
      <c r="F91" s="128"/>
      <c r="G91" s="129">
        <v>0.4</v>
      </c>
      <c r="H91" s="128">
        <v>0</v>
      </c>
      <c r="I91" s="130">
        <v>0</v>
      </c>
      <c r="J91" s="131">
        <f t="shared" ref="J91:J98" si="15">SUM(G91:I91)</f>
        <v>0.4</v>
      </c>
      <c r="K91" s="132">
        <f t="shared" ref="K91:K96" si="16">ROUND(D91*E91,2)</f>
        <v>0</v>
      </c>
      <c r="L91" s="130">
        <f t="shared" ref="L91:L96" si="17">ROUND(D91*G91,2)</f>
        <v>3400</v>
      </c>
      <c r="M91" s="130">
        <f t="shared" ref="M91:M96" si="18">ROUND(D91*H91,2)</f>
        <v>0</v>
      </c>
      <c r="N91" s="130">
        <f t="shared" ref="N91:N96" si="19">ROUND(D91*I91,2)</f>
        <v>0</v>
      </c>
      <c r="O91" s="28">
        <f t="shared" ref="O91:O96" si="20">SUM(L91:N91)</f>
        <v>3400</v>
      </c>
      <c r="P91" s="199">
        <v>0.05</v>
      </c>
      <c r="Q91" s="203">
        <f>ROUND(O91*P91,2)</f>
        <v>170</v>
      </c>
      <c r="R91" s="203">
        <v>0.12</v>
      </c>
      <c r="S91" s="203">
        <f>ROUND(O91*R91,2)</f>
        <v>408</v>
      </c>
      <c r="T91" s="203">
        <f>O91+Q91+S91</f>
        <v>3978</v>
      </c>
      <c r="U91" s="203">
        <v>1.21</v>
      </c>
      <c r="V91" s="205">
        <f t="shared" ref="V91:V99" si="21">ROUND(T91*U91,2)</f>
        <v>4813.38</v>
      </c>
    </row>
    <row r="92" spans="1:22" ht="63">
      <c r="A92" s="155">
        <v>2</v>
      </c>
      <c r="B92" s="139" t="s">
        <v>134</v>
      </c>
      <c r="C92" s="141" t="s">
        <v>135</v>
      </c>
      <c r="D92" s="136">
        <v>0.4</v>
      </c>
      <c r="E92" s="128"/>
      <c r="F92" s="128"/>
      <c r="G92" s="131">
        <v>670000</v>
      </c>
      <c r="H92" s="128"/>
      <c r="I92" s="130"/>
      <c r="J92" s="131">
        <f t="shared" si="15"/>
        <v>670000</v>
      </c>
      <c r="K92" s="132">
        <f t="shared" si="16"/>
        <v>0</v>
      </c>
      <c r="L92" s="130">
        <f t="shared" si="17"/>
        <v>268000</v>
      </c>
      <c r="M92" s="130">
        <f t="shared" si="18"/>
        <v>0</v>
      </c>
      <c r="N92" s="130">
        <f t="shared" si="19"/>
        <v>0</v>
      </c>
      <c r="O92" s="28">
        <f t="shared" si="20"/>
        <v>268000</v>
      </c>
      <c r="P92" s="199">
        <v>0.05</v>
      </c>
      <c r="Q92" s="203">
        <f t="shared" ref="Q92:Q99" si="22">ROUND(O92*P92,2)</f>
        <v>13400</v>
      </c>
      <c r="R92" s="203">
        <v>0.12</v>
      </c>
      <c r="S92" s="203">
        <f t="shared" ref="S92:S99" si="23">ROUND(O92*R92,2)</f>
        <v>32160</v>
      </c>
      <c r="T92" s="203">
        <f t="shared" ref="T92:T99" si="24">O92+Q92+S92</f>
        <v>313560</v>
      </c>
      <c r="U92" s="203">
        <v>1.21</v>
      </c>
      <c r="V92" s="205">
        <f t="shared" si="21"/>
        <v>379407.6</v>
      </c>
    </row>
    <row r="93" spans="1:22" ht="31.5">
      <c r="A93" s="155">
        <v>3</v>
      </c>
      <c r="B93" s="139" t="s">
        <v>136</v>
      </c>
      <c r="C93" s="141" t="s">
        <v>135</v>
      </c>
      <c r="D93" s="136">
        <v>1</v>
      </c>
      <c r="E93" s="128"/>
      <c r="F93" s="128"/>
      <c r="G93" s="129">
        <v>6000</v>
      </c>
      <c r="H93" s="128"/>
      <c r="I93" s="130"/>
      <c r="J93" s="131">
        <f t="shared" si="15"/>
        <v>6000</v>
      </c>
      <c r="K93" s="132">
        <f t="shared" si="16"/>
        <v>0</v>
      </c>
      <c r="L93" s="130">
        <f t="shared" si="17"/>
        <v>6000</v>
      </c>
      <c r="M93" s="130">
        <f t="shared" si="18"/>
        <v>0</v>
      </c>
      <c r="N93" s="130">
        <f t="shared" si="19"/>
        <v>0</v>
      </c>
      <c r="O93" s="28">
        <f t="shared" si="20"/>
        <v>6000</v>
      </c>
      <c r="P93" s="199">
        <v>0.05</v>
      </c>
      <c r="Q93" s="203">
        <f t="shared" si="22"/>
        <v>300</v>
      </c>
      <c r="R93" s="203">
        <v>0.12</v>
      </c>
      <c r="S93" s="203">
        <f t="shared" si="23"/>
        <v>720</v>
      </c>
      <c r="T93" s="203">
        <f t="shared" si="24"/>
        <v>7020</v>
      </c>
      <c r="U93" s="203">
        <v>1.21</v>
      </c>
      <c r="V93" s="205">
        <f t="shared" si="21"/>
        <v>8494.2000000000007</v>
      </c>
    </row>
    <row r="94" spans="1:22" ht="31.5">
      <c r="A94" s="155">
        <v>4</v>
      </c>
      <c r="B94" s="139" t="s">
        <v>42</v>
      </c>
      <c r="C94" s="141" t="s">
        <v>44</v>
      </c>
      <c r="D94" s="136">
        <v>12</v>
      </c>
      <c r="E94" s="128"/>
      <c r="F94" s="128"/>
      <c r="G94" s="129">
        <v>4900</v>
      </c>
      <c r="H94" s="128"/>
      <c r="I94" s="130"/>
      <c r="J94" s="131">
        <f t="shared" si="15"/>
        <v>4900</v>
      </c>
      <c r="K94" s="132">
        <f t="shared" si="16"/>
        <v>0</v>
      </c>
      <c r="L94" s="130">
        <f t="shared" si="17"/>
        <v>58800</v>
      </c>
      <c r="M94" s="130">
        <f t="shared" si="18"/>
        <v>0</v>
      </c>
      <c r="N94" s="130">
        <f t="shared" si="19"/>
        <v>0</v>
      </c>
      <c r="O94" s="28">
        <f t="shared" si="20"/>
        <v>58800</v>
      </c>
      <c r="P94" s="199">
        <v>0.05</v>
      </c>
      <c r="Q94" s="203">
        <f t="shared" si="22"/>
        <v>2940</v>
      </c>
      <c r="R94" s="203">
        <v>0.12</v>
      </c>
      <c r="S94" s="203">
        <f t="shared" si="23"/>
        <v>7056</v>
      </c>
      <c r="T94" s="203">
        <f t="shared" si="24"/>
        <v>68796</v>
      </c>
      <c r="U94" s="203">
        <v>1.21</v>
      </c>
      <c r="V94" s="205">
        <f t="shared" si="21"/>
        <v>83243.16</v>
      </c>
    </row>
    <row r="95" spans="1:22" ht="31.5">
      <c r="A95" s="155">
        <v>5</v>
      </c>
      <c r="B95" s="139" t="s">
        <v>137</v>
      </c>
      <c r="C95" s="141" t="s">
        <v>44</v>
      </c>
      <c r="D95" s="136">
        <v>12</v>
      </c>
      <c r="E95" s="128"/>
      <c r="F95" s="128"/>
      <c r="G95" s="129">
        <v>3000</v>
      </c>
      <c r="H95" s="128"/>
      <c r="I95" s="130"/>
      <c r="J95" s="131">
        <f t="shared" si="15"/>
        <v>3000</v>
      </c>
      <c r="K95" s="132">
        <f t="shared" si="16"/>
        <v>0</v>
      </c>
      <c r="L95" s="130">
        <f t="shared" si="17"/>
        <v>36000</v>
      </c>
      <c r="M95" s="130">
        <f t="shared" si="18"/>
        <v>0</v>
      </c>
      <c r="N95" s="130">
        <f t="shared" si="19"/>
        <v>0</v>
      </c>
      <c r="O95" s="28">
        <f t="shared" si="20"/>
        <v>36000</v>
      </c>
      <c r="P95" s="199">
        <v>0.05</v>
      </c>
      <c r="Q95" s="203">
        <f t="shared" si="22"/>
        <v>1800</v>
      </c>
      <c r="R95" s="203">
        <v>0.12</v>
      </c>
      <c r="S95" s="203">
        <f t="shared" si="23"/>
        <v>4320</v>
      </c>
      <c r="T95" s="203">
        <f t="shared" si="24"/>
        <v>42120</v>
      </c>
      <c r="U95" s="203">
        <v>1.21</v>
      </c>
      <c r="V95" s="205">
        <f t="shared" si="21"/>
        <v>50965.2</v>
      </c>
    </row>
    <row r="96" spans="1:22" ht="31.5">
      <c r="A96" s="155">
        <v>6</v>
      </c>
      <c r="B96" s="139" t="s">
        <v>138</v>
      </c>
      <c r="C96" s="141" t="s">
        <v>135</v>
      </c>
      <c r="D96" s="136">
        <v>1</v>
      </c>
      <c r="E96" s="128"/>
      <c r="F96" s="128"/>
      <c r="G96" s="129">
        <v>10670</v>
      </c>
      <c r="H96" s="128"/>
      <c r="I96" s="130"/>
      <c r="J96" s="131">
        <f t="shared" si="15"/>
        <v>10670</v>
      </c>
      <c r="K96" s="132">
        <f t="shared" si="16"/>
        <v>0</v>
      </c>
      <c r="L96" s="130">
        <f t="shared" si="17"/>
        <v>10670</v>
      </c>
      <c r="M96" s="130">
        <f t="shared" si="18"/>
        <v>0</v>
      </c>
      <c r="N96" s="130">
        <f t="shared" si="19"/>
        <v>0</v>
      </c>
      <c r="O96" s="28">
        <f t="shared" si="20"/>
        <v>10670</v>
      </c>
      <c r="P96" s="199">
        <v>0.05</v>
      </c>
      <c r="Q96" s="203">
        <f t="shared" si="22"/>
        <v>533.5</v>
      </c>
      <c r="R96" s="203">
        <v>0.12</v>
      </c>
      <c r="S96" s="203">
        <f t="shared" si="23"/>
        <v>1280.4000000000001</v>
      </c>
      <c r="T96" s="203">
        <f t="shared" si="24"/>
        <v>12483.9</v>
      </c>
      <c r="U96" s="203">
        <v>1.21</v>
      </c>
      <c r="V96" s="205">
        <f t="shared" si="21"/>
        <v>15105.52</v>
      </c>
    </row>
    <row r="97" spans="1:22" ht="31.5">
      <c r="A97" s="155">
        <v>7</v>
      </c>
      <c r="B97" s="139" t="s">
        <v>139</v>
      </c>
      <c r="C97" s="141" t="s">
        <v>135</v>
      </c>
      <c r="D97" s="136">
        <v>1</v>
      </c>
      <c r="E97" s="128"/>
      <c r="F97" s="128"/>
      <c r="G97" s="129">
        <v>4500</v>
      </c>
      <c r="H97" s="128"/>
      <c r="I97" s="130"/>
      <c r="J97" s="131">
        <f t="shared" si="15"/>
        <v>4500</v>
      </c>
      <c r="K97" s="132">
        <f>ROUND(D97*E97,2)</f>
        <v>0</v>
      </c>
      <c r="L97" s="130">
        <f>ROUND(D97*G97,2)</f>
        <v>4500</v>
      </c>
      <c r="M97" s="130">
        <f>ROUND(D97*H97,2)</f>
        <v>0</v>
      </c>
      <c r="N97" s="130">
        <f>ROUND(D97*I97,2)</f>
        <v>0</v>
      </c>
      <c r="O97" s="28">
        <f>SUM(L97:N97)</f>
        <v>4500</v>
      </c>
      <c r="P97" s="199">
        <v>0.05</v>
      </c>
      <c r="Q97" s="203">
        <f t="shared" si="22"/>
        <v>225</v>
      </c>
      <c r="R97" s="203">
        <v>0.12</v>
      </c>
      <c r="S97" s="203">
        <f t="shared" si="23"/>
        <v>540</v>
      </c>
      <c r="T97" s="203">
        <f t="shared" si="24"/>
        <v>5265</v>
      </c>
      <c r="U97" s="203">
        <v>1.21</v>
      </c>
      <c r="V97" s="205">
        <f t="shared" si="21"/>
        <v>6370.65</v>
      </c>
    </row>
    <row r="98" spans="1:22" ht="31.5">
      <c r="A98" s="155">
        <v>8</v>
      </c>
      <c r="B98" s="139" t="s">
        <v>140</v>
      </c>
      <c r="C98" s="135" t="s">
        <v>135</v>
      </c>
      <c r="D98" s="136">
        <v>2</v>
      </c>
      <c r="E98" s="128"/>
      <c r="F98" s="128"/>
      <c r="G98" s="129">
        <v>20000</v>
      </c>
      <c r="H98" s="128"/>
      <c r="I98" s="130"/>
      <c r="J98" s="131">
        <f t="shared" si="15"/>
        <v>20000</v>
      </c>
      <c r="K98" s="132">
        <f>ROUND(D98*E98,2)</f>
        <v>0</v>
      </c>
      <c r="L98" s="130">
        <f>ROUND(D98*G98,2)</f>
        <v>40000</v>
      </c>
      <c r="M98" s="130">
        <f>ROUND(D98*H98,2)</f>
        <v>0</v>
      </c>
      <c r="N98" s="130">
        <f>ROUND(D98*I98,2)</f>
        <v>0</v>
      </c>
      <c r="O98" s="28">
        <f>SUM(L98:N98)</f>
        <v>40000</v>
      </c>
      <c r="P98" s="199">
        <v>0.05</v>
      </c>
      <c r="Q98" s="203">
        <f t="shared" si="22"/>
        <v>2000</v>
      </c>
      <c r="R98" s="203">
        <v>0.12</v>
      </c>
      <c r="S98" s="203">
        <f t="shared" si="23"/>
        <v>4800</v>
      </c>
      <c r="T98" s="203">
        <f t="shared" si="24"/>
        <v>46800</v>
      </c>
      <c r="U98" s="203">
        <v>1.21</v>
      </c>
      <c r="V98" s="205">
        <f t="shared" si="21"/>
        <v>56628</v>
      </c>
    </row>
    <row r="99" spans="1:22">
      <c r="A99" s="369" t="s">
        <v>19</v>
      </c>
      <c r="B99" s="369"/>
      <c r="C99" s="369"/>
      <c r="D99" s="369"/>
      <c r="E99" s="369"/>
      <c r="F99" s="369"/>
      <c r="G99" s="369"/>
      <c r="H99" s="369"/>
      <c r="I99" s="369"/>
      <c r="J99" s="369"/>
      <c r="K99" s="158">
        <f>SUM(K11:K98)</f>
        <v>16547.03</v>
      </c>
      <c r="L99" s="158">
        <f>SUM(L11:L98)</f>
        <v>593632.30000000005</v>
      </c>
      <c r="M99" s="158">
        <f>SUM(M11:M98)</f>
        <v>152185.61000000002</v>
      </c>
      <c r="N99" s="158">
        <f>SUM(N11:N98)</f>
        <v>38646.859999999993</v>
      </c>
      <c r="O99" s="158">
        <f>SUM(O11:O98)</f>
        <v>784464.77</v>
      </c>
      <c r="P99" s="199">
        <v>0.05</v>
      </c>
      <c r="Q99" s="203">
        <f t="shared" si="22"/>
        <v>39223.24</v>
      </c>
      <c r="R99" s="203">
        <v>0.12</v>
      </c>
      <c r="S99" s="203">
        <f t="shared" si="23"/>
        <v>94135.77</v>
      </c>
      <c r="T99" s="203">
        <f t="shared" si="24"/>
        <v>917823.78</v>
      </c>
      <c r="U99" s="203">
        <v>1.21</v>
      </c>
      <c r="V99" s="205">
        <f t="shared" si="21"/>
        <v>1110566.77</v>
      </c>
    </row>
    <row r="100" spans="1:22" ht="12" customHeight="1">
      <c r="A100" s="110"/>
      <c r="B100" s="111"/>
      <c r="C100" s="112"/>
      <c r="D100" s="113"/>
      <c r="E100" s="114"/>
      <c r="F100" s="114"/>
      <c r="G100" s="114"/>
      <c r="H100" s="114"/>
      <c r="I100" s="115"/>
      <c r="J100" s="114"/>
      <c r="K100" s="114"/>
      <c r="L100" s="114"/>
      <c r="M100" s="114"/>
      <c r="N100" s="114"/>
      <c r="O100" s="114"/>
    </row>
    <row r="101" spans="1:22">
      <c r="A101" s="116"/>
      <c r="B101" s="117"/>
      <c r="C101" s="109"/>
      <c r="D101" s="110"/>
      <c r="E101" s="110"/>
      <c r="F101" s="110"/>
      <c r="G101" s="110"/>
      <c r="I101" s="110"/>
      <c r="J101" s="110"/>
      <c r="K101" s="110"/>
      <c r="L101" s="110"/>
      <c r="M101" s="110"/>
      <c r="N101" s="110"/>
      <c r="O101" s="110"/>
    </row>
    <row r="102" spans="1:22">
      <c r="A102" s="108"/>
      <c r="B102" s="117"/>
      <c r="C102" s="109"/>
      <c r="D102" s="110"/>
      <c r="E102" s="110"/>
      <c r="F102" s="110"/>
      <c r="G102" s="110"/>
      <c r="H102" s="370"/>
      <c r="I102" s="370"/>
      <c r="J102" s="110"/>
      <c r="K102" s="110"/>
      <c r="L102" s="110"/>
      <c r="M102" s="110"/>
      <c r="N102" s="110"/>
      <c r="O102" s="110"/>
    </row>
    <row r="103" spans="1:22" ht="18.75">
      <c r="A103" s="368"/>
      <c r="B103" s="368"/>
      <c r="C103" s="109"/>
      <c r="D103" s="110"/>
      <c r="E103" s="110"/>
      <c r="F103" s="110"/>
      <c r="G103" s="110"/>
      <c r="H103" s="110"/>
      <c r="I103" s="110"/>
      <c r="J103" s="110"/>
      <c r="K103" s="110"/>
      <c r="L103" s="110"/>
      <c r="M103" s="110"/>
      <c r="N103" s="110"/>
      <c r="O103" s="110"/>
      <c r="Q103" s="118">
        <v>1110566.77</v>
      </c>
    </row>
    <row r="104" spans="1:22">
      <c r="A104" s="108"/>
      <c r="B104" s="117"/>
      <c r="C104" s="109"/>
      <c r="D104" s="110"/>
      <c r="E104" s="110"/>
      <c r="F104" s="110"/>
      <c r="G104" s="110"/>
      <c r="H104" s="110"/>
      <c r="I104" s="110"/>
      <c r="J104" s="110"/>
      <c r="K104" s="110"/>
      <c r="L104" s="110"/>
      <c r="M104" s="110"/>
      <c r="N104" s="110"/>
      <c r="O104" s="110"/>
      <c r="Q104" s="109">
        <f>Q103-V91-V93-V95-V97-V98</f>
        <v>983295.3400000002</v>
      </c>
    </row>
    <row r="105" spans="1:22">
      <c r="A105" s="116"/>
      <c r="C105" s="109"/>
      <c r="D105" s="110"/>
      <c r="E105" s="110"/>
      <c r="F105" s="117"/>
      <c r="G105" s="110"/>
      <c r="H105" s="368"/>
      <c r="I105" s="368"/>
      <c r="J105" s="110"/>
      <c r="K105" s="110"/>
      <c r="L105" s="110"/>
      <c r="M105" s="110"/>
      <c r="N105" s="110"/>
      <c r="O105" s="110"/>
    </row>
    <row r="106" spans="1:22">
      <c r="A106" s="108"/>
      <c r="B106" s="117"/>
      <c r="C106" s="109"/>
      <c r="D106" s="110"/>
      <c r="E106" s="110"/>
      <c r="F106" s="110"/>
      <c r="G106" s="110"/>
      <c r="H106" s="370"/>
      <c r="I106" s="370"/>
      <c r="J106" s="110"/>
      <c r="K106" s="110"/>
      <c r="L106" s="110"/>
      <c r="M106" s="110"/>
      <c r="N106" s="110"/>
      <c r="O106" s="110"/>
    </row>
    <row r="107" spans="1:22">
      <c r="A107" s="368"/>
      <c r="B107" s="368"/>
      <c r="C107" s="109"/>
      <c r="D107" s="110"/>
      <c r="E107" s="110"/>
      <c r="F107" s="110"/>
      <c r="G107" s="110"/>
      <c r="H107" s="110"/>
      <c r="I107" s="110"/>
      <c r="J107" s="110"/>
      <c r="K107" s="110"/>
      <c r="L107" s="110"/>
      <c r="M107" s="110"/>
      <c r="N107" s="110"/>
      <c r="O107" s="110"/>
    </row>
    <row r="108" spans="1:22">
      <c r="A108" s="109"/>
      <c r="D108" s="110"/>
      <c r="E108" s="107"/>
      <c r="F108" s="107"/>
    </row>
    <row r="109" spans="1:22">
      <c r="A109" s="109"/>
      <c r="E109" s="109"/>
    </row>
    <row r="110" spans="1:22">
      <c r="A110" s="109"/>
      <c r="E110" s="109"/>
    </row>
  </sheetData>
  <mergeCells count="20">
    <mergeCell ref="A1:N1"/>
    <mergeCell ref="A2:N2"/>
    <mergeCell ref="A4:B4"/>
    <mergeCell ref="C4:L4"/>
    <mergeCell ref="A5:B5"/>
    <mergeCell ref="C5:L5"/>
    <mergeCell ref="A6:B6"/>
    <mergeCell ref="C6:L6"/>
    <mergeCell ref="A9:A10"/>
    <mergeCell ref="B9:B10"/>
    <mergeCell ref="C9:C10"/>
    <mergeCell ref="D9:D10"/>
    <mergeCell ref="E9:J9"/>
    <mergeCell ref="K9:O9"/>
    <mergeCell ref="A107:B107"/>
    <mergeCell ref="A99:J99"/>
    <mergeCell ref="H102:I102"/>
    <mergeCell ref="A103:B103"/>
    <mergeCell ref="H105:I105"/>
    <mergeCell ref="H106:I10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X60"/>
  <sheetViews>
    <sheetView topLeftCell="A34" zoomScale="50" zoomScaleNormal="50" workbookViewId="0">
      <selection activeCell="D61" sqref="D61"/>
    </sheetView>
  </sheetViews>
  <sheetFormatPr defaultColWidth="9.140625" defaultRowHeight="15.75"/>
  <cols>
    <col min="1" max="1" width="5.7109375" style="171" customWidth="1"/>
    <col min="2" max="2" width="34.85546875" style="161" customWidth="1"/>
    <col min="3" max="3" width="6.28515625" style="160" customWidth="1"/>
    <col min="4" max="4" width="11.42578125" style="160" customWidth="1"/>
    <col min="5" max="5" width="8.7109375" style="172" customWidth="1"/>
    <col min="6" max="6" width="7.28515625" style="161" customWidth="1"/>
    <col min="7" max="7" width="11.7109375" style="161" customWidth="1"/>
    <col min="8" max="8" width="10.7109375" style="161" customWidth="1"/>
    <col min="9" max="9" width="11.42578125" style="161" customWidth="1"/>
    <col min="10" max="10" width="10.5703125" style="161" customWidth="1"/>
    <col min="11" max="11" width="11.5703125" style="161" customWidth="1"/>
    <col min="12" max="12" width="13.85546875" style="161" customWidth="1"/>
    <col min="13" max="13" width="13.140625" style="161" customWidth="1"/>
    <col min="14" max="14" width="11.5703125" style="161" customWidth="1"/>
    <col min="15" max="15" width="12" style="161" customWidth="1"/>
    <col min="16" max="16" width="9.140625" style="161"/>
    <col min="17" max="17" width="11.140625" style="161" customWidth="1"/>
    <col min="18" max="18" width="9.140625" style="161"/>
    <col min="19" max="19" width="10.28515625" style="161" customWidth="1"/>
    <col min="20" max="20" width="12.42578125" style="161" customWidth="1"/>
    <col min="21" max="21" width="9.140625" style="161"/>
    <col min="22" max="22" width="17.7109375" style="161" customWidth="1"/>
    <col min="23" max="23" width="9.140625" style="161"/>
    <col min="24" max="24" width="9.42578125" style="161" bestFit="1" customWidth="1"/>
    <col min="25" max="16384" width="9.140625" style="161"/>
  </cols>
  <sheetData>
    <row r="1" spans="1:24" s="159" customFormat="1" ht="16.5" thickBot="1">
      <c r="A1" s="380" t="s">
        <v>62</v>
      </c>
      <c r="B1" s="380"/>
      <c r="C1" s="380"/>
      <c r="D1" s="380"/>
      <c r="E1" s="380"/>
      <c r="F1" s="380"/>
      <c r="G1" s="380"/>
      <c r="H1" s="380"/>
      <c r="I1" s="380"/>
      <c r="J1" s="380"/>
      <c r="K1" s="380"/>
      <c r="L1" s="380"/>
      <c r="M1" s="380"/>
      <c r="N1" s="380"/>
      <c r="O1" s="121"/>
    </row>
    <row r="2" spans="1:24" s="159" customFormat="1" ht="16.5" customHeight="1" thickTop="1">
      <c r="A2" s="375" t="s">
        <v>45</v>
      </c>
      <c r="B2" s="375"/>
      <c r="C2" s="375"/>
      <c r="D2" s="375"/>
      <c r="E2" s="375"/>
      <c r="F2" s="375"/>
      <c r="G2" s="375"/>
      <c r="H2" s="375"/>
      <c r="I2" s="375"/>
      <c r="J2" s="375"/>
      <c r="K2" s="375"/>
      <c r="L2" s="375"/>
      <c r="M2" s="375"/>
      <c r="N2" s="375"/>
      <c r="O2" s="121"/>
    </row>
    <row r="3" spans="1:24">
      <c r="A3" s="122"/>
      <c r="B3" s="123"/>
      <c r="C3" s="123"/>
      <c r="D3" s="123"/>
      <c r="E3" s="31"/>
      <c r="F3" s="31"/>
      <c r="G3" s="31"/>
      <c r="H3" s="31"/>
      <c r="I3" s="31"/>
      <c r="J3" s="31"/>
      <c r="K3" s="31"/>
      <c r="L3" s="31"/>
      <c r="M3" s="31"/>
      <c r="N3" s="31"/>
      <c r="O3" s="31"/>
    </row>
    <row r="4" spans="1:24">
      <c r="A4" s="376" t="s">
        <v>4</v>
      </c>
      <c r="B4" s="376"/>
      <c r="C4" s="371" t="s">
        <v>40</v>
      </c>
      <c r="D4" s="371"/>
      <c r="E4" s="371"/>
      <c r="F4" s="371"/>
      <c r="G4" s="371"/>
      <c r="H4" s="371"/>
      <c r="I4" s="371"/>
      <c r="J4" s="371"/>
      <c r="K4" s="371"/>
      <c r="L4" s="371"/>
      <c r="M4" s="31"/>
      <c r="N4" s="31"/>
      <c r="O4" s="31"/>
    </row>
    <row r="5" spans="1:24">
      <c r="A5" s="376" t="s">
        <v>5</v>
      </c>
      <c r="B5" s="376"/>
      <c r="C5" s="371" t="s">
        <v>41</v>
      </c>
      <c r="D5" s="371"/>
      <c r="E5" s="371"/>
      <c r="F5" s="371"/>
      <c r="G5" s="371"/>
      <c r="H5" s="371"/>
      <c r="I5" s="371"/>
      <c r="J5" s="371"/>
      <c r="K5" s="371"/>
      <c r="L5" s="371"/>
      <c r="M5" s="31"/>
      <c r="N5" s="31"/>
      <c r="O5" s="31"/>
    </row>
    <row r="6" spans="1:24">
      <c r="A6" s="371"/>
      <c r="B6" s="371"/>
      <c r="C6" s="371"/>
      <c r="D6" s="371"/>
      <c r="E6" s="371"/>
      <c r="F6" s="371"/>
      <c r="G6" s="371"/>
      <c r="H6" s="371"/>
      <c r="I6" s="371"/>
      <c r="J6" s="371"/>
      <c r="K6" s="371"/>
      <c r="L6" s="371"/>
      <c r="M6" s="31"/>
      <c r="N6" s="31"/>
      <c r="O6" s="31"/>
    </row>
    <row r="7" spans="1:24" s="159" customFormat="1">
      <c r="A7" s="121"/>
      <c r="B7" s="124"/>
      <c r="C7" s="124"/>
      <c r="D7" s="124"/>
      <c r="E7" s="121"/>
      <c r="F7" s="121"/>
      <c r="G7" s="121"/>
      <c r="H7" s="121"/>
      <c r="I7" s="121"/>
      <c r="J7" s="121"/>
      <c r="K7" s="125" t="s">
        <v>6</v>
      </c>
      <c r="L7" s="126">
        <f>O49</f>
        <v>1212195.3299999998</v>
      </c>
      <c r="M7" s="127" t="s">
        <v>7</v>
      </c>
      <c r="N7" s="121"/>
      <c r="O7" s="121"/>
    </row>
    <row r="8" spans="1:24" s="159" customFormat="1">
      <c r="A8" s="121"/>
      <c r="B8" s="124"/>
      <c r="C8" s="124"/>
      <c r="D8" s="124"/>
      <c r="E8" s="121"/>
      <c r="F8" s="121"/>
      <c r="G8" s="121"/>
      <c r="H8" s="121"/>
      <c r="I8" s="121"/>
      <c r="J8" s="121"/>
      <c r="K8" s="125"/>
      <c r="L8" s="121"/>
      <c r="M8" s="127"/>
      <c r="N8" s="121"/>
      <c r="O8" s="121"/>
    </row>
    <row r="9" spans="1:24" ht="12.75" customHeight="1">
      <c r="A9" s="372" t="s">
        <v>8</v>
      </c>
      <c r="B9" s="373" t="s">
        <v>1</v>
      </c>
      <c r="C9" s="372" t="s">
        <v>2</v>
      </c>
      <c r="D9" s="372" t="s">
        <v>3</v>
      </c>
      <c r="E9" s="373" t="s">
        <v>9</v>
      </c>
      <c r="F9" s="373"/>
      <c r="G9" s="373"/>
      <c r="H9" s="373"/>
      <c r="I9" s="373"/>
      <c r="J9" s="373"/>
      <c r="K9" s="373" t="s">
        <v>10</v>
      </c>
      <c r="L9" s="373"/>
      <c r="M9" s="373"/>
      <c r="N9" s="373"/>
      <c r="O9" s="373"/>
    </row>
    <row r="10" spans="1:24" ht="167.1" customHeight="1" thickBot="1">
      <c r="A10" s="372"/>
      <c r="B10" s="373"/>
      <c r="C10" s="372"/>
      <c r="D10" s="372"/>
      <c r="E10" s="58" t="s">
        <v>11</v>
      </c>
      <c r="F10" s="105" t="s">
        <v>12</v>
      </c>
      <c r="G10" s="105" t="s">
        <v>17</v>
      </c>
      <c r="H10" s="105" t="s">
        <v>13</v>
      </c>
      <c r="I10" s="105" t="s">
        <v>14</v>
      </c>
      <c r="J10" s="105" t="s">
        <v>15</v>
      </c>
      <c r="K10" s="105" t="s">
        <v>16</v>
      </c>
      <c r="L10" s="105" t="s">
        <v>17</v>
      </c>
      <c r="M10" s="105" t="s">
        <v>13</v>
      </c>
      <c r="N10" s="105" t="s">
        <v>14</v>
      </c>
      <c r="O10" s="105" t="s">
        <v>18</v>
      </c>
      <c r="P10" s="193"/>
      <c r="Q10" s="194" t="s">
        <v>469</v>
      </c>
      <c r="R10" s="194"/>
      <c r="S10" s="194" t="s">
        <v>470</v>
      </c>
      <c r="T10" s="194" t="s">
        <v>472</v>
      </c>
      <c r="U10" s="194"/>
      <c r="V10" s="195" t="s">
        <v>38</v>
      </c>
      <c r="W10" s="196"/>
      <c r="X10" s="163"/>
    </row>
    <row r="11" spans="1:24" ht="17.25" thickTop="1" thickBot="1">
      <c r="A11" s="59"/>
      <c r="B11" s="81"/>
      <c r="C11" s="61"/>
      <c r="D11" s="62"/>
      <c r="E11" s="63"/>
      <c r="F11" s="63"/>
      <c r="G11" s="64"/>
      <c r="H11" s="63"/>
      <c r="I11" s="65"/>
      <c r="J11" s="66"/>
      <c r="K11" s="67"/>
      <c r="L11" s="65"/>
      <c r="M11" s="65"/>
      <c r="N11" s="65"/>
      <c r="O11" s="30"/>
      <c r="P11" s="193"/>
      <c r="Q11" s="197"/>
      <c r="R11" s="197"/>
      <c r="S11" s="197"/>
      <c r="T11" s="197"/>
      <c r="U11" s="197"/>
      <c r="V11" s="197"/>
      <c r="W11" s="197"/>
    </row>
    <row r="12" spans="1:24" ht="16.5" thickTop="1">
      <c r="A12" s="59"/>
      <c r="B12" s="60" t="s">
        <v>141</v>
      </c>
      <c r="C12" s="61"/>
      <c r="D12" s="70"/>
      <c r="E12" s="63"/>
      <c r="F12" s="63"/>
      <c r="G12" s="64"/>
      <c r="H12" s="63"/>
      <c r="I12" s="65"/>
      <c r="J12" s="66"/>
      <c r="K12" s="67"/>
      <c r="L12" s="65"/>
      <c r="M12" s="65"/>
      <c r="N12" s="65"/>
      <c r="O12" s="30"/>
      <c r="P12" s="193"/>
      <c r="Q12" s="197"/>
      <c r="R12" s="197"/>
      <c r="S12" s="197"/>
      <c r="T12" s="197"/>
      <c r="U12" s="197"/>
      <c r="V12" s="197"/>
      <c r="W12" s="197"/>
    </row>
    <row r="13" spans="1:24" ht="38.25">
      <c r="A13" s="133" t="s">
        <v>39</v>
      </c>
      <c r="B13" s="173" t="s">
        <v>142</v>
      </c>
      <c r="C13" s="174" t="s">
        <v>143</v>
      </c>
      <c r="D13" s="136">
        <f>4730*0.5</f>
        <v>2365</v>
      </c>
      <c r="E13" s="128">
        <v>0.15</v>
      </c>
      <c r="F13" s="128">
        <v>8</v>
      </c>
      <c r="G13" s="129">
        <f t="shared" ref="G13:G20" si="0">ROUND(E13*F13,2)</f>
        <v>1.2</v>
      </c>
      <c r="H13" s="128">
        <v>1.25</v>
      </c>
      <c r="I13" s="130">
        <v>6.5</v>
      </c>
      <c r="J13" s="131">
        <f t="shared" ref="J13:J20" si="1">SUM(G13:I13)</f>
        <v>8.9499999999999993</v>
      </c>
      <c r="K13" s="132">
        <f t="shared" ref="K13:K20" si="2">ROUND(D13*E13,2)</f>
        <v>354.75</v>
      </c>
      <c r="L13" s="130">
        <f t="shared" ref="L13:L20" si="3">ROUND(D13*G13,2)</f>
        <v>2838</v>
      </c>
      <c r="M13" s="130">
        <f t="shared" ref="M13:M20" si="4">ROUND(D13*H13,2)</f>
        <v>2956.25</v>
      </c>
      <c r="N13" s="130">
        <f t="shared" ref="N13:N20" si="5">ROUND(D13*I13,2)</f>
        <v>15372.5</v>
      </c>
      <c r="O13" s="28">
        <f t="shared" ref="O13:O20" si="6">SUM(L13:N13)</f>
        <v>21166.75</v>
      </c>
      <c r="P13" s="193"/>
      <c r="Q13" s="197"/>
      <c r="R13" s="197"/>
      <c r="S13" s="197"/>
      <c r="T13" s="197"/>
      <c r="U13" s="197"/>
      <c r="V13" s="197"/>
      <c r="W13" s="197"/>
    </row>
    <row r="14" spans="1:24">
      <c r="A14" s="133" t="s">
        <v>71</v>
      </c>
      <c r="B14" s="175" t="s">
        <v>144</v>
      </c>
      <c r="C14" s="176" t="s">
        <v>76</v>
      </c>
      <c r="D14" s="136">
        <f>5557.75*0.5</f>
        <v>2778.875</v>
      </c>
      <c r="E14" s="128">
        <v>0.35</v>
      </c>
      <c r="F14" s="128">
        <v>8</v>
      </c>
      <c r="G14" s="129">
        <f t="shared" si="0"/>
        <v>2.8</v>
      </c>
      <c r="H14" s="128">
        <v>0.05</v>
      </c>
      <c r="I14" s="130">
        <v>2.5</v>
      </c>
      <c r="J14" s="131">
        <f t="shared" si="1"/>
        <v>5.35</v>
      </c>
      <c r="K14" s="132">
        <f t="shared" si="2"/>
        <v>972.61</v>
      </c>
      <c r="L14" s="130">
        <f t="shared" si="3"/>
        <v>7780.85</v>
      </c>
      <c r="M14" s="130">
        <f t="shared" si="4"/>
        <v>138.94</v>
      </c>
      <c r="N14" s="130">
        <f t="shared" si="5"/>
        <v>6947.19</v>
      </c>
      <c r="O14" s="28">
        <f t="shared" si="6"/>
        <v>14866.98</v>
      </c>
      <c r="P14" s="193"/>
      <c r="Q14" s="197"/>
      <c r="R14" s="197"/>
      <c r="S14" s="197"/>
      <c r="T14" s="197"/>
      <c r="U14" s="197"/>
      <c r="V14" s="197"/>
      <c r="W14" s="197"/>
    </row>
    <row r="15" spans="1:24" ht="25.5">
      <c r="A15" s="133" t="s">
        <v>74</v>
      </c>
      <c r="B15" s="175" t="s">
        <v>145</v>
      </c>
      <c r="C15" s="176" t="s">
        <v>76</v>
      </c>
      <c r="D15" s="136">
        <f>1000*0.5</f>
        <v>500</v>
      </c>
      <c r="E15" s="128">
        <v>0.25</v>
      </c>
      <c r="F15" s="128">
        <v>8</v>
      </c>
      <c r="G15" s="129">
        <f t="shared" si="0"/>
        <v>2</v>
      </c>
      <c r="H15" s="128">
        <v>3.45</v>
      </c>
      <c r="I15" s="130">
        <v>1.5</v>
      </c>
      <c r="J15" s="131">
        <f t="shared" si="1"/>
        <v>6.95</v>
      </c>
      <c r="K15" s="132">
        <f t="shared" si="2"/>
        <v>125</v>
      </c>
      <c r="L15" s="130">
        <f t="shared" si="3"/>
        <v>1000</v>
      </c>
      <c r="M15" s="130">
        <f t="shared" si="4"/>
        <v>1725</v>
      </c>
      <c r="N15" s="130">
        <f t="shared" si="5"/>
        <v>750</v>
      </c>
      <c r="O15" s="28">
        <f t="shared" si="6"/>
        <v>3475</v>
      </c>
      <c r="P15" s="193"/>
      <c r="Q15" s="197"/>
      <c r="R15" s="197"/>
      <c r="S15" s="197"/>
      <c r="T15" s="197"/>
      <c r="U15" s="197"/>
      <c r="V15" s="197"/>
      <c r="W15" s="197"/>
    </row>
    <row r="16" spans="1:24" ht="40.5" customHeight="1">
      <c r="A16" s="133" t="s">
        <v>77</v>
      </c>
      <c r="B16" s="175" t="s">
        <v>146</v>
      </c>
      <c r="C16" s="176" t="s">
        <v>76</v>
      </c>
      <c r="D16" s="140">
        <f>5557.75*0.5</f>
        <v>2778.875</v>
      </c>
      <c r="E16" s="128">
        <v>0.25</v>
      </c>
      <c r="F16" s="128">
        <v>8</v>
      </c>
      <c r="G16" s="129">
        <f t="shared" si="0"/>
        <v>2</v>
      </c>
      <c r="H16" s="128">
        <v>1.45</v>
      </c>
      <c r="I16" s="130">
        <v>0.95</v>
      </c>
      <c r="J16" s="131">
        <f t="shared" si="1"/>
        <v>4.4000000000000004</v>
      </c>
      <c r="K16" s="132">
        <f t="shared" si="2"/>
        <v>694.72</v>
      </c>
      <c r="L16" s="130">
        <f t="shared" si="3"/>
        <v>5557.75</v>
      </c>
      <c r="M16" s="130">
        <f t="shared" si="4"/>
        <v>4029.37</v>
      </c>
      <c r="N16" s="130">
        <f t="shared" si="5"/>
        <v>2639.93</v>
      </c>
      <c r="O16" s="28">
        <f t="shared" si="6"/>
        <v>12227.05</v>
      </c>
      <c r="P16" s="193"/>
      <c r="Q16" s="197"/>
      <c r="R16" s="197"/>
      <c r="S16" s="197"/>
      <c r="T16" s="197"/>
      <c r="U16" s="197"/>
      <c r="V16" s="197"/>
      <c r="W16" s="197"/>
    </row>
    <row r="17" spans="1:23" ht="38.25">
      <c r="A17" s="133" t="s">
        <v>79</v>
      </c>
      <c r="B17" s="175" t="s">
        <v>147</v>
      </c>
      <c r="C17" s="176" t="s">
        <v>76</v>
      </c>
      <c r="D17" s="140">
        <f>5557.75*0.5</f>
        <v>2778.875</v>
      </c>
      <c r="E17" s="128">
        <v>1.25</v>
      </c>
      <c r="F17" s="128">
        <v>8</v>
      </c>
      <c r="G17" s="129">
        <f t="shared" si="0"/>
        <v>10</v>
      </c>
      <c r="H17" s="128">
        <v>0.95</v>
      </c>
      <c r="I17" s="130">
        <v>0.45</v>
      </c>
      <c r="J17" s="131">
        <f t="shared" si="1"/>
        <v>11.399999999999999</v>
      </c>
      <c r="K17" s="132">
        <f t="shared" si="2"/>
        <v>3473.59</v>
      </c>
      <c r="L17" s="130">
        <f t="shared" si="3"/>
        <v>27788.75</v>
      </c>
      <c r="M17" s="130">
        <f t="shared" si="4"/>
        <v>2639.93</v>
      </c>
      <c r="N17" s="130">
        <f t="shared" si="5"/>
        <v>1250.49</v>
      </c>
      <c r="O17" s="28">
        <f t="shared" si="6"/>
        <v>31679.170000000002</v>
      </c>
      <c r="P17" s="193"/>
      <c r="Q17" s="197"/>
      <c r="R17" s="197"/>
      <c r="S17" s="197"/>
      <c r="T17" s="197"/>
      <c r="U17" s="197"/>
      <c r="V17" s="197"/>
      <c r="W17" s="197"/>
    </row>
    <row r="18" spans="1:23" ht="63.75">
      <c r="A18" s="133" t="s">
        <v>82</v>
      </c>
      <c r="B18" s="175" t="s">
        <v>148</v>
      </c>
      <c r="C18" s="176" t="s">
        <v>76</v>
      </c>
      <c r="D18" s="140">
        <f>827.75*0.5</f>
        <v>413.875</v>
      </c>
      <c r="E18" s="128">
        <v>1.95</v>
      </c>
      <c r="F18" s="128">
        <v>8</v>
      </c>
      <c r="G18" s="129">
        <f t="shared" si="0"/>
        <v>15.6</v>
      </c>
      <c r="H18" s="128">
        <v>0.95</v>
      </c>
      <c r="I18" s="130">
        <v>0.65</v>
      </c>
      <c r="J18" s="131">
        <f t="shared" si="1"/>
        <v>17.2</v>
      </c>
      <c r="K18" s="132">
        <f t="shared" si="2"/>
        <v>807.06</v>
      </c>
      <c r="L18" s="130">
        <f t="shared" si="3"/>
        <v>6456.45</v>
      </c>
      <c r="M18" s="130">
        <f t="shared" si="4"/>
        <v>393.18</v>
      </c>
      <c r="N18" s="130">
        <f t="shared" si="5"/>
        <v>269.02</v>
      </c>
      <c r="O18" s="28">
        <f t="shared" si="6"/>
        <v>7118.65</v>
      </c>
      <c r="P18" s="193"/>
      <c r="Q18" s="197"/>
      <c r="R18" s="197"/>
      <c r="S18" s="197"/>
      <c r="T18" s="197"/>
      <c r="U18" s="197"/>
      <c r="V18" s="197"/>
      <c r="W18" s="197"/>
    </row>
    <row r="19" spans="1:23" ht="51">
      <c r="A19" s="133" t="s">
        <v>85</v>
      </c>
      <c r="B19" s="175" t="s">
        <v>149</v>
      </c>
      <c r="C19" s="176" t="s">
        <v>76</v>
      </c>
      <c r="D19" s="140">
        <f>5557.75*0.5</f>
        <v>2778.875</v>
      </c>
      <c r="E19" s="128">
        <v>0.95</v>
      </c>
      <c r="F19" s="128">
        <v>8</v>
      </c>
      <c r="G19" s="129">
        <f t="shared" si="0"/>
        <v>7.6</v>
      </c>
      <c r="H19" s="128">
        <v>7.45</v>
      </c>
      <c r="I19" s="130">
        <v>0.45</v>
      </c>
      <c r="J19" s="131">
        <f t="shared" si="1"/>
        <v>15.5</v>
      </c>
      <c r="K19" s="132">
        <f t="shared" si="2"/>
        <v>2639.93</v>
      </c>
      <c r="L19" s="130">
        <f t="shared" si="3"/>
        <v>21119.45</v>
      </c>
      <c r="M19" s="130">
        <f t="shared" si="4"/>
        <v>20702.62</v>
      </c>
      <c r="N19" s="130">
        <f t="shared" si="5"/>
        <v>1250.49</v>
      </c>
      <c r="O19" s="28">
        <f t="shared" si="6"/>
        <v>43072.56</v>
      </c>
      <c r="P19" s="193"/>
      <c r="Q19" s="197"/>
      <c r="R19" s="197"/>
      <c r="S19" s="197"/>
      <c r="T19" s="197"/>
      <c r="U19" s="197"/>
      <c r="V19" s="197"/>
      <c r="W19" s="197"/>
    </row>
    <row r="20" spans="1:23" ht="25.5">
      <c r="A20" s="133" t="s">
        <v>87</v>
      </c>
      <c r="B20" s="175" t="s">
        <v>150</v>
      </c>
      <c r="C20" s="176" t="s">
        <v>76</v>
      </c>
      <c r="D20" s="140">
        <f>830</f>
        <v>830</v>
      </c>
      <c r="E20" s="128">
        <v>3</v>
      </c>
      <c r="F20" s="128">
        <v>8</v>
      </c>
      <c r="G20" s="129">
        <f t="shared" si="0"/>
        <v>24</v>
      </c>
      <c r="H20" s="128">
        <v>22</v>
      </c>
      <c r="I20" s="130">
        <v>0.45</v>
      </c>
      <c r="J20" s="131">
        <f t="shared" si="1"/>
        <v>46.45</v>
      </c>
      <c r="K20" s="132">
        <f t="shared" si="2"/>
        <v>2490</v>
      </c>
      <c r="L20" s="130">
        <f t="shared" si="3"/>
        <v>19920</v>
      </c>
      <c r="M20" s="130">
        <f t="shared" si="4"/>
        <v>18260</v>
      </c>
      <c r="N20" s="130">
        <f t="shared" si="5"/>
        <v>373.5</v>
      </c>
      <c r="O20" s="28">
        <f t="shared" si="6"/>
        <v>38553.5</v>
      </c>
      <c r="P20" s="193"/>
      <c r="Q20" s="197"/>
      <c r="R20" s="197"/>
      <c r="S20" s="197"/>
      <c r="T20" s="197"/>
      <c r="U20" s="197"/>
      <c r="V20" s="197"/>
      <c r="W20" s="197"/>
    </row>
    <row r="21" spans="1:23" ht="25.5">
      <c r="A21" s="133"/>
      <c r="B21" s="177" t="s">
        <v>151</v>
      </c>
      <c r="C21" s="176"/>
      <c r="D21" s="140"/>
      <c r="E21" s="128"/>
      <c r="F21" s="128"/>
      <c r="G21" s="129"/>
      <c r="H21" s="128"/>
      <c r="I21" s="130"/>
      <c r="J21" s="131"/>
      <c r="K21" s="132"/>
      <c r="L21" s="130"/>
      <c r="M21" s="130"/>
      <c r="N21" s="130"/>
      <c r="O21" s="28"/>
      <c r="P21" s="193"/>
      <c r="Q21" s="197"/>
      <c r="R21" s="197"/>
      <c r="S21" s="197"/>
      <c r="T21" s="197"/>
      <c r="U21" s="197"/>
      <c r="V21" s="197"/>
      <c r="W21" s="197"/>
    </row>
    <row r="22" spans="1:23" ht="79.5" customHeight="1">
      <c r="A22" s="178">
        <v>1</v>
      </c>
      <c r="B22" s="179" t="s">
        <v>152</v>
      </c>
      <c r="C22" s="180" t="s">
        <v>135</v>
      </c>
      <c r="D22" s="140">
        <v>1</v>
      </c>
      <c r="E22" s="128">
        <v>0</v>
      </c>
      <c r="F22" s="128">
        <v>0</v>
      </c>
      <c r="G22" s="129">
        <v>315000</v>
      </c>
      <c r="H22" s="128">
        <v>0</v>
      </c>
      <c r="I22" s="130">
        <v>0</v>
      </c>
      <c r="J22" s="131">
        <f>SUM(G22:I22)</f>
        <v>315000</v>
      </c>
      <c r="K22" s="132">
        <f>ROUND(D22*E22,2)</f>
        <v>0</v>
      </c>
      <c r="L22" s="130">
        <f>ROUND(D22*G22,2)</f>
        <v>315000</v>
      </c>
      <c r="M22" s="130">
        <f>ROUND(D22*H22,2)</f>
        <v>0</v>
      </c>
      <c r="N22" s="130">
        <f>ROUND(D22*I22,2)</f>
        <v>0</v>
      </c>
      <c r="O22" s="28">
        <f>SUM(L22:N22)</f>
        <v>315000</v>
      </c>
      <c r="P22" s="193"/>
      <c r="Q22" s="197"/>
      <c r="R22" s="197"/>
      <c r="S22" s="197"/>
      <c r="T22" s="197"/>
      <c r="U22" s="197"/>
      <c r="V22" s="197"/>
      <c r="W22" s="197"/>
    </row>
    <row r="23" spans="1:23" ht="31.5">
      <c r="A23" s="75"/>
      <c r="B23" s="76" t="s">
        <v>153</v>
      </c>
      <c r="C23" s="77"/>
      <c r="D23" s="70"/>
      <c r="E23" s="63"/>
      <c r="F23" s="63"/>
      <c r="G23" s="64"/>
      <c r="H23" s="63"/>
      <c r="I23" s="65"/>
      <c r="J23" s="66"/>
      <c r="K23" s="67"/>
      <c r="L23" s="65"/>
      <c r="M23" s="65"/>
      <c r="N23" s="65"/>
      <c r="O23" s="30"/>
      <c r="P23" s="193"/>
      <c r="Q23" s="197"/>
      <c r="R23" s="197"/>
      <c r="S23" s="197"/>
      <c r="T23" s="197"/>
      <c r="U23" s="197"/>
      <c r="V23" s="197"/>
      <c r="W23" s="197"/>
    </row>
    <row r="24" spans="1:23">
      <c r="A24" s="36" t="s">
        <v>39</v>
      </c>
      <c r="B24" s="181" t="s">
        <v>154</v>
      </c>
      <c r="C24" s="182" t="s">
        <v>76</v>
      </c>
      <c r="D24" s="136">
        <v>1824.7</v>
      </c>
      <c r="E24" s="128">
        <v>2.0499999999999998</v>
      </c>
      <c r="F24" s="128">
        <v>8</v>
      </c>
      <c r="G24" s="129">
        <f t="shared" ref="G24:G32" si="7">ROUND(E24*F24,2)</f>
        <v>16.399999999999999</v>
      </c>
      <c r="H24" s="128">
        <v>28</v>
      </c>
      <c r="I24" s="130">
        <v>1.5</v>
      </c>
      <c r="J24" s="131">
        <f t="shared" ref="J24:J32" si="8">SUM(G24:I24)</f>
        <v>45.9</v>
      </c>
      <c r="K24" s="132">
        <f t="shared" ref="K24:K32" si="9">ROUND(D24*E24,2)</f>
        <v>3740.64</v>
      </c>
      <c r="L24" s="130">
        <f t="shared" ref="L24:L32" si="10">ROUND(D24*G24,2)</f>
        <v>29925.08</v>
      </c>
      <c r="M24" s="130">
        <f t="shared" ref="M24:M32" si="11">ROUND(D24*H24,2)</f>
        <v>51091.6</v>
      </c>
      <c r="N24" s="130">
        <f t="shared" ref="N24:N32" si="12">ROUND(D24*I24,2)</f>
        <v>2737.05</v>
      </c>
      <c r="O24" s="28">
        <f t="shared" ref="O24:O32" si="13">SUM(L24:N24)</f>
        <v>83753.73</v>
      </c>
      <c r="P24" s="193"/>
      <c r="Q24" s="197"/>
      <c r="R24" s="197"/>
      <c r="S24" s="197"/>
      <c r="T24" s="197"/>
      <c r="U24" s="197"/>
      <c r="V24" s="197"/>
      <c r="W24" s="197"/>
    </row>
    <row r="25" spans="1:23" ht="63">
      <c r="A25" s="133" t="s">
        <v>71</v>
      </c>
      <c r="B25" s="134" t="s">
        <v>155</v>
      </c>
      <c r="C25" s="135" t="s">
        <v>76</v>
      </c>
      <c r="D25" s="136">
        <v>1824.7</v>
      </c>
      <c r="E25" s="128">
        <v>0.5</v>
      </c>
      <c r="F25" s="128">
        <v>8</v>
      </c>
      <c r="G25" s="129">
        <f t="shared" si="7"/>
        <v>4</v>
      </c>
      <c r="H25" s="128">
        <v>2.65</v>
      </c>
      <c r="I25" s="130">
        <v>0.05</v>
      </c>
      <c r="J25" s="131">
        <f t="shared" si="8"/>
        <v>6.7</v>
      </c>
      <c r="K25" s="132">
        <f t="shared" si="9"/>
        <v>912.35</v>
      </c>
      <c r="L25" s="130">
        <f t="shared" si="10"/>
        <v>7298.8</v>
      </c>
      <c r="M25" s="130">
        <f t="shared" si="11"/>
        <v>4835.46</v>
      </c>
      <c r="N25" s="130">
        <f t="shared" si="12"/>
        <v>91.24</v>
      </c>
      <c r="O25" s="28">
        <f t="shared" si="13"/>
        <v>12225.5</v>
      </c>
      <c r="P25" s="193"/>
      <c r="Q25" s="197"/>
      <c r="R25" s="197"/>
      <c r="S25" s="197"/>
      <c r="T25" s="197"/>
      <c r="U25" s="197"/>
      <c r="V25" s="197"/>
      <c r="W25" s="197"/>
    </row>
    <row r="26" spans="1:23">
      <c r="A26" s="133" t="s">
        <v>74</v>
      </c>
      <c r="B26" s="134" t="s">
        <v>156</v>
      </c>
      <c r="C26" s="135" t="s">
        <v>76</v>
      </c>
      <c r="D26" s="136">
        <v>1824.7</v>
      </c>
      <c r="E26" s="128">
        <v>0.25</v>
      </c>
      <c r="F26" s="128">
        <v>8</v>
      </c>
      <c r="G26" s="129">
        <v>1</v>
      </c>
      <c r="H26" s="128">
        <v>0.65</v>
      </c>
      <c r="I26" s="130">
        <v>0.05</v>
      </c>
      <c r="J26" s="131">
        <f t="shared" si="8"/>
        <v>1.7</v>
      </c>
      <c r="K26" s="132">
        <f t="shared" si="9"/>
        <v>456.18</v>
      </c>
      <c r="L26" s="130">
        <f t="shared" si="10"/>
        <v>1824.7</v>
      </c>
      <c r="M26" s="130">
        <f t="shared" si="11"/>
        <v>1186.06</v>
      </c>
      <c r="N26" s="130">
        <f t="shared" si="12"/>
        <v>91.24</v>
      </c>
      <c r="O26" s="28">
        <f t="shared" si="13"/>
        <v>3102</v>
      </c>
      <c r="P26" s="193"/>
      <c r="Q26" s="197"/>
      <c r="R26" s="197"/>
      <c r="S26" s="197"/>
      <c r="T26" s="197"/>
      <c r="U26" s="197"/>
      <c r="V26" s="197"/>
      <c r="W26" s="197"/>
    </row>
    <row r="27" spans="1:23" ht="78.75">
      <c r="A27" s="133" t="s">
        <v>77</v>
      </c>
      <c r="B27" s="183" t="s">
        <v>157</v>
      </c>
      <c r="C27" s="135" t="s">
        <v>76</v>
      </c>
      <c r="D27" s="140">
        <v>275.60000000000002</v>
      </c>
      <c r="E27" s="128">
        <v>3.45</v>
      </c>
      <c r="F27" s="128">
        <v>8</v>
      </c>
      <c r="G27" s="129">
        <f t="shared" si="7"/>
        <v>27.6</v>
      </c>
      <c r="H27" s="128">
        <v>32</v>
      </c>
      <c r="I27" s="130">
        <v>3.5</v>
      </c>
      <c r="J27" s="131">
        <f t="shared" si="8"/>
        <v>63.1</v>
      </c>
      <c r="K27" s="132">
        <f t="shared" si="9"/>
        <v>950.82</v>
      </c>
      <c r="L27" s="130">
        <f t="shared" si="10"/>
        <v>7606.56</v>
      </c>
      <c r="M27" s="130">
        <f t="shared" si="11"/>
        <v>8819.2000000000007</v>
      </c>
      <c r="N27" s="130">
        <f t="shared" si="12"/>
        <v>964.6</v>
      </c>
      <c r="O27" s="28">
        <f t="shared" si="13"/>
        <v>17390.36</v>
      </c>
      <c r="P27" s="193"/>
      <c r="Q27" s="197"/>
      <c r="R27" s="197"/>
      <c r="S27" s="197"/>
      <c r="T27" s="197"/>
      <c r="U27" s="197"/>
      <c r="V27" s="197"/>
      <c r="W27" s="197"/>
    </row>
    <row r="28" spans="1:23" ht="31.5">
      <c r="A28" s="133" t="s">
        <v>79</v>
      </c>
      <c r="B28" s="134" t="s">
        <v>158</v>
      </c>
      <c r="C28" s="135" t="s">
        <v>81</v>
      </c>
      <c r="D28" s="140">
        <v>2</v>
      </c>
      <c r="E28" s="128">
        <v>9.5</v>
      </c>
      <c r="F28" s="128">
        <v>8</v>
      </c>
      <c r="G28" s="129">
        <f t="shared" si="7"/>
        <v>76</v>
      </c>
      <c r="H28" s="128">
        <v>145</v>
      </c>
      <c r="I28" s="130">
        <v>25</v>
      </c>
      <c r="J28" s="131">
        <f t="shared" si="8"/>
        <v>246</v>
      </c>
      <c r="K28" s="132">
        <f t="shared" si="9"/>
        <v>19</v>
      </c>
      <c r="L28" s="130">
        <f t="shared" si="10"/>
        <v>152</v>
      </c>
      <c r="M28" s="130">
        <f t="shared" si="11"/>
        <v>290</v>
      </c>
      <c r="N28" s="130">
        <f t="shared" si="12"/>
        <v>50</v>
      </c>
      <c r="O28" s="28">
        <f t="shared" si="13"/>
        <v>492</v>
      </c>
      <c r="P28" s="193"/>
      <c r="Q28" s="197"/>
      <c r="R28" s="197"/>
      <c r="S28" s="197"/>
      <c r="T28" s="197"/>
      <c r="U28" s="197"/>
      <c r="V28" s="197"/>
      <c r="W28" s="197"/>
    </row>
    <row r="29" spans="1:23" ht="34.5" customHeight="1">
      <c r="A29" s="133" t="s">
        <v>82</v>
      </c>
      <c r="B29" s="134" t="s">
        <v>159</v>
      </c>
      <c r="C29" s="135" t="s">
        <v>84</v>
      </c>
      <c r="D29" s="140">
        <v>235.2</v>
      </c>
      <c r="E29" s="128">
        <v>1.1499999999999999</v>
      </c>
      <c r="F29" s="128">
        <v>8</v>
      </c>
      <c r="G29" s="129">
        <f t="shared" si="7"/>
        <v>9.1999999999999993</v>
      </c>
      <c r="H29" s="128">
        <v>0</v>
      </c>
      <c r="I29" s="130">
        <v>3.5</v>
      </c>
      <c r="J29" s="131">
        <f t="shared" si="8"/>
        <v>12.7</v>
      </c>
      <c r="K29" s="132">
        <f t="shared" si="9"/>
        <v>270.48</v>
      </c>
      <c r="L29" s="130">
        <f t="shared" si="10"/>
        <v>2163.84</v>
      </c>
      <c r="M29" s="130">
        <f t="shared" si="11"/>
        <v>0</v>
      </c>
      <c r="N29" s="130">
        <f t="shared" si="12"/>
        <v>823.2</v>
      </c>
      <c r="O29" s="28">
        <f t="shared" si="13"/>
        <v>2987.04</v>
      </c>
      <c r="P29" s="193"/>
      <c r="Q29" s="197"/>
      <c r="R29" s="197"/>
      <c r="S29" s="197"/>
      <c r="T29" s="197"/>
      <c r="U29" s="197"/>
      <c r="V29" s="197"/>
      <c r="W29" s="197"/>
    </row>
    <row r="30" spans="1:23">
      <c r="A30" s="133"/>
      <c r="B30" s="184" t="s">
        <v>160</v>
      </c>
      <c r="C30" s="135" t="s">
        <v>84</v>
      </c>
      <c r="D30" s="140">
        <v>235.2</v>
      </c>
      <c r="E30" s="128">
        <v>0</v>
      </c>
      <c r="F30" s="128">
        <v>8</v>
      </c>
      <c r="G30" s="129">
        <f>ROUND(E30*F30,2)</f>
        <v>0</v>
      </c>
      <c r="H30" s="128">
        <v>27.45</v>
      </c>
      <c r="I30" s="130">
        <v>3.5</v>
      </c>
      <c r="J30" s="131">
        <f>SUM(G30:I30)</f>
        <v>30.95</v>
      </c>
      <c r="K30" s="132">
        <f>ROUND(D30*E30,2)</f>
        <v>0</v>
      </c>
      <c r="L30" s="130">
        <f>ROUND(D30*G30,2)</f>
        <v>0</v>
      </c>
      <c r="M30" s="130">
        <f>ROUND(D30*H30,2)</f>
        <v>6456.24</v>
      </c>
      <c r="N30" s="130">
        <f>ROUND(D30*I30,2)</f>
        <v>823.2</v>
      </c>
      <c r="O30" s="28">
        <f>SUM(L30:N30)</f>
        <v>7279.44</v>
      </c>
      <c r="P30" s="193"/>
      <c r="Q30" s="197"/>
      <c r="R30" s="197"/>
      <c r="S30" s="197"/>
      <c r="T30" s="197"/>
      <c r="U30" s="197"/>
      <c r="V30" s="197"/>
      <c r="W30" s="197"/>
    </row>
    <row r="31" spans="1:23">
      <c r="A31" s="133"/>
      <c r="B31" s="184" t="s">
        <v>161</v>
      </c>
      <c r="C31" s="135" t="s">
        <v>162</v>
      </c>
      <c r="D31" s="140">
        <v>293</v>
      </c>
      <c r="E31" s="128">
        <v>0</v>
      </c>
      <c r="F31" s="128">
        <v>8</v>
      </c>
      <c r="G31" s="129">
        <f>ROUND(E31*F31,2)</f>
        <v>0</v>
      </c>
      <c r="H31" s="128">
        <v>6.95</v>
      </c>
      <c r="I31" s="130">
        <v>3.5</v>
      </c>
      <c r="J31" s="131">
        <f>SUM(G31:I31)</f>
        <v>10.45</v>
      </c>
      <c r="K31" s="132">
        <f>ROUND(D31*E31,2)</f>
        <v>0</v>
      </c>
      <c r="L31" s="130">
        <f>ROUND(D31*G31,2)</f>
        <v>0</v>
      </c>
      <c r="M31" s="130">
        <f>ROUND(D31*H31,2)</f>
        <v>2036.35</v>
      </c>
      <c r="N31" s="130">
        <f>ROUND(D31*I31,2)</f>
        <v>1025.5</v>
      </c>
      <c r="O31" s="28">
        <f>SUM(L31:N31)</f>
        <v>3061.85</v>
      </c>
      <c r="P31" s="193"/>
      <c r="Q31" s="197"/>
      <c r="R31" s="197"/>
      <c r="S31" s="197"/>
      <c r="T31" s="197"/>
      <c r="U31" s="197"/>
      <c r="V31" s="197"/>
      <c r="W31" s="197"/>
    </row>
    <row r="32" spans="1:23" ht="63">
      <c r="A32" s="150" t="s">
        <v>85</v>
      </c>
      <c r="B32" s="137" t="s">
        <v>163</v>
      </c>
      <c r="C32" s="138" t="s">
        <v>76</v>
      </c>
      <c r="D32" s="140">
        <v>283.5</v>
      </c>
      <c r="E32" s="128">
        <v>1.65</v>
      </c>
      <c r="F32" s="128">
        <v>8</v>
      </c>
      <c r="G32" s="129">
        <f t="shared" si="7"/>
        <v>13.2</v>
      </c>
      <c r="H32" s="128">
        <v>25</v>
      </c>
      <c r="I32" s="130">
        <v>5.5</v>
      </c>
      <c r="J32" s="131">
        <f t="shared" si="8"/>
        <v>43.7</v>
      </c>
      <c r="K32" s="132">
        <f t="shared" si="9"/>
        <v>467.78</v>
      </c>
      <c r="L32" s="130">
        <f t="shared" si="10"/>
        <v>3742.2</v>
      </c>
      <c r="M32" s="130">
        <f t="shared" si="11"/>
        <v>7087.5</v>
      </c>
      <c r="N32" s="130">
        <f t="shared" si="12"/>
        <v>1559.25</v>
      </c>
      <c r="O32" s="28">
        <f t="shared" si="13"/>
        <v>12388.95</v>
      </c>
      <c r="P32" s="193"/>
      <c r="Q32" s="197"/>
      <c r="R32" s="197"/>
      <c r="S32" s="197"/>
      <c r="T32" s="197"/>
      <c r="U32" s="197"/>
      <c r="V32" s="197"/>
      <c r="W32" s="197"/>
    </row>
    <row r="33" spans="1:24">
      <c r="A33" s="185" t="s">
        <v>87</v>
      </c>
      <c r="B33" s="186" t="s">
        <v>164</v>
      </c>
      <c r="C33" s="138" t="s">
        <v>48</v>
      </c>
      <c r="D33" s="187">
        <v>1</v>
      </c>
      <c r="E33" s="128"/>
      <c r="F33" s="128"/>
      <c r="G33" s="129">
        <v>4000</v>
      </c>
      <c r="H33" s="128">
        <v>1800</v>
      </c>
      <c r="I33" s="130">
        <v>600</v>
      </c>
      <c r="J33" s="131">
        <f>SUM(G33:I33)</f>
        <v>6400</v>
      </c>
      <c r="K33" s="132"/>
      <c r="L33" s="130">
        <f>ROUND(D33*G33,2)</f>
        <v>4000</v>
      </c>
      <c r="M33" s="130">
        <f>ROUND(D33*H33,2)</f>
        <v>1800</v>
      </c>
      <c r="N33" s="130">
        <f>ROUND(D33*I33,2)</f>
        <v>600</v>
      </c>
      <c r="O33" s="28">
        <f>SUM(L33:N33)</f>
        <v>6400</v>
      </c>
      <c r="P33" s="193"/>
      <c r="Q33" s="197"/>
      <c r="R33" s="197"/>
      <c r="S33" s="197"/>
      <c r="T33" s="197"/>
      <c r="U33" s="197"/>
      <c r="V33" s="197"/>
      <c r="W33" s="197"/>
    </row>
    <row r="34" spans="1:24" ht="31.5">
      <c r="A34" s="185" t="s">
        <v>89</v>
      </c>
      <c r="B34" s="186" t="s">
        <v>165</v>
      </c>
      <c r="C34" s="138" t="s">
        <v>48</v>
      </c>
      <c r="D34" s="187">
        <v>1</v>
      </c>
      <c r="E34" s="128"/>
      <c r="F34" s="128"/>
      <c r="G34" s="129">
        <v>160000</v>
      </c>
      <c r="H34" s="128">
        <v>160000</v>
      </c>
      <c r="I34" s="130">
        <v>40000</v>
      </c>
      <c r="J34" s="131">
        <f>SUM(G34:I34)</f>
        <v>360000</v>
      </c>
      <c r="K34" s="132"/>
      <c r="L34" s="130">
        <f>ROUND(D34*G34,2)</f>
        <v>160000</v>
      </c>
      <c r="M34" s="130">
        <f>ROUND(D34*H34,2)</f>
        <v>160000</v>
      </c>
      <c r="N34" s="130">
        <f>ROUND(D34*I34,2)</f>
        <v>40000</v>
      </c>
      <c r="O34" s="28">
        <f>SUM(L34:N34)</f>
        <v>360000</v>
      </c>
      <c r="P34" s="193"/>
      <c r="Q34" s="197"/>
      <c r="R34" s="197"/>
      <c r="S34" s="197"/>
      <c r="T34" s="197"/>
      <c r="U34" s="197"/>
      <c r="V34" s="197"/>
      <c r="W34" s="197"/>
    </row>
    <row r="35" spans="1:24" ht="25.5">
      <c r="A35" s="188" t="s">
        <v>39</v>
      </c>
      <c r="B35" s="189" t="s">
        <v>166</v>
      </c>
      <c r="C35" s="190" t="s">
        <v>76</v>
      </c>
      <c r="D35" s="136">
        <v>350</v>
      </c>
      <c r="E35" s="128">
        <v>3</v>
      </c>
      <c r="F35" s="128">
        <v>8</v>
      </c>
      <c r="G35" s="129">
        <f>ROUND(E35*F35,2)</f>
        <v>24</v>
      </c>
      <c r="H35" s="128">
        <v>25</v>
      </c>
      <c r="I35" s="130">
        <v>6.5</v>
      </c>
      <c r="J35" s="131">
        <f>SUM(G35:I35)</f>
        <v>55.5</v>
      </c>
      <c r="K35" s="132">
        <f>ROUND(D35*E35,2)</f>
        <v>1050</v>
      </c>
      <c r="L35" s="130">
        <f>ROUND(D35*G35,2)</f>
        <v>8400</v>
      </c>
      <c r="M35" s="130">
        <f>ROUND(D35*H35,2)</f>
        <v>8750</v>
      </c>
      <c r="N35" s="130">
        <f>ROUND(D35*I35,2)</f>
        <v>2275</v>
      </c>
      <c r="O35" s="28">
        <f>SUM(L35:N35)</f>
        <v>19425</v>
      </c>
      <c r="P35" s="193"/>
      <c r="Q35" s="197"/>
      <c r="R35" s="197"/>
      <c r="S35" s="197"/>
      <c r="T35" s="197"/>
      <c r="U35" s="197"/>
      <c r="V35" s="197"/>
      <c r="W35" s="197"/>
    </row>
    <row r="36" spans="1:24" ht="51">
      <c r="A36" s="188" t="s">
        <v>71</v>
      </c>
      <c r="B36" s="191" t="s">
        <v>167</v>
      </c>
      <c r="C36" s="192" t="s">
        <v>48</v>
      </c>
      <c r="D36" s="140">
        <v>1</v>
      </c>
      <c r="E36" s="128">
        <v>0</v>
      </c>
      <c r="F36" s="128">
        <v>0</v>
      </c>
      <c r="G36" s="129">
        <v>9500</v>
      </c>
      <c r="H36" s="128">
        <v>3500</v>
      </c>
      <c r="I36" s="130">
        <v>200</v>
      </c>
      <c r="J36" s="131">
        <f>SUM(G36:I36)</f>
        <v>13200</v>
      </c>
      <c r="K36" s="132">
        <f>ROUND(D36*E36,2)</f>
        <v>0</v>
      </c>
      <c r="L36" s="130">
        <f>ROUND(D36*G36,2)</f>
        <v>9500</v>
      </c>
      <c r="M36" s="130">
        <f>ROUND(D36*H36,2)</f>
        <v>3500</v>
      </c>
      <c r="N36" s="130">
        <f>ROUND(D36*I36,2)</f>
        <v>200</v>
      </c>
      <c r="O36" s="28">
        <f>SUM(L36:N36)</f>
        <v>13200</v>
      </c>
      <c r="P36" s="193"/>
      <c r="Q36" s="197"/>
      <c r="R36" s="197"/>
      <c r="S36" s="197"/>
      <c r="T36" s="197"/>
      <c r="U36" s="197"/>
      <c r="V36" s="197"/>
      <c r="W36" s="197"/>
    </row>
    <row r="37" spans="1:24">
      <c r="A37" s="78"/>
      <c r="B37" s="79" t="s">
        <v>168</v>
      </c>
      <c r="C37" s="80"/>
      <c r="D37" s="70"/>
      <c r="E37" s="63"/>
      <c r="F37" s="63"/>
      <c r="G37" s="64"/>
      <c r="H37" s="63"/>
      <c r="I37" s="65"/>
      <c r="J37" s="66"/>
      <c r="K37" s="67"/>
      <c r="L37" s="65"/>
      <c r="M37" s="65"/>
      <c r="N37" s="65"/>
      <c r="O37" s="30"/>
      <c r="P37" s="193"/>
      <c r="Q37" s="197"/>
      <c r="R37" s="197"/>
      <c r="S37" s="197"/>
      <c r="T37" s="197"/>
      <c r="U37" s="197"/>
      <c r="V37" s="197"/>
      <c r="W37" s="197"/>
    </row>
    <row r="38" spans="1:24" ht="51">
      <c r="A38" s="133" t="s">
        <v>39</v>
      </c>
      <c r="B38" s="173" t="s">
        <v>169</v>
      </c>
      <c r="C38" s="174" t="s">
        <v>73</v>
      </c>
      <c r="D38" s="136">
        <v>898.4</v>
      </c>
      <c r="E38" s="128">
        <v>1.5</v>
      </c>
      <c r="F38" s="128">
        <v>8</v>
      </c>
      <c r="G38" s="129">
        <f>ROUND(E38*F38,2)</f>
        <v>12</v>
      </c>
      <c r="H38" s="128">
        <v>16</v>
      </c>
      <c r="I38" s="130">
        <v>0.25</v>
      </c>
      <c r="J38" s="131">
        <f>SUM(G38:I38)</f>
        <v>28.25</v>
      </c>
      <c r="K38" s="132">
        <f>ROUND(D38*E38,2)</f>
        <v>1347.6</v>
      </c>
      <c r="L38" s="130">
        <f>ROUND(D38*G38,2)</f>
        <v>10780.8</v>
      </c>
      <c r="M38" s="130">
        <f>ROUND(D38*H38,2)</f>
        <v>14374.4</v>
      </c>
      <c r="N38" s="130">
        <f>ROUND(D38*I38,2)</f>
        <v>224.6</v>
      </c>
      <c r="O38" s="28">
        <f>SUM(L38:N38)</f>
        <v>25379.799999999996</v>
      </c>
      <c r="P38" s="193"/>
      <c r="Q38" s="197"/>
      <c r="R38" s="197"/>
      <c r="S38" s="197"/>
      <c r="T38" s="197"/>
      <c r="U38" s="197"/>
      <c r="V38" s="197"/>
      <c r="W38" s="197"/>
    </row>
    <row r="39" spans="1:24" ht="25.5">
      <c r="A39" s="133" t="s">
        <v>71</v>
      </c>
      <c r="B39" s="175" t="s">
        <v>170</v>
      </c>
      <c r="C39" s="176" t="s">
        <v>76</v>
      </c>
      <c r="D39" s="136">
        <v>1200</v>
      </c>
      <c r="E39" s="128">
        <v>0.8</v>
      </c>
      <c r="F39" s="128">
        <v>8</v>
      </c>
      <c r="G39" s="129">
        <f>ROUND(E39*F39,2)</f>
        <v>6.4</v>
      </c>
      <c r="H39" s="128">
        <v>3.5</v>
      </c>
      <c r="I39" s="130">
        <v>0.25</v>
      </c>
      <c r="J39" s="131">
        <f>SUM(G39:I39)</f>
        <v>10.15</v>
      </c>
      <c r="K39" s="132">
        <f>ROUND(D39*E39,2)</f>
        <v>960</v>
      </c>
      <c r="L39" s="130">
        <f>ROUND(D39*G39,2)</f>
        <v>7680</v>
      </c>
      <c r="M39" s="130">
        <f>ROUND(D39*H39,2)</f>
        <v>4200</v>
      </c>
      <c r="N39" s="130">
        <f>ROUND(D39*I39,2)</f>
        <v>300</v>
      </c>
      <c r="O39" s="28">
        <f>SUM(L39:N39)</f>
        <v>12180</v>
      </c>
      <c r="P39" s="193"/>
      <c r="Q39" s="197"/>
      <c r="R39" s="197"/>
      <c r="S39" s="197"/>
      <c r="T39" s="197"/>
      <c r="U39" s="197"/>
      <c r="V39" s="197"/>
      <c r="W39" s="197"/>
    </row>
    <row r="40" spans="1:24" ht="25.5">
      <c r="A40" s="133" t="s">
        <v>74</v>
      </c>
      <c r="B40" s="175" t="s">
        <v>171</v>
      </c>
      <c r="C40" s="176" t="s">
        <v>76</v>
      </c>
      <c r="D40" s="136">
        <v>1200</v>
      </c>
      <c r="E40" s="128">
        <v>0.15</v>
      </c>
      <c r="F40" s="128">
        <v>8</v>
      </c>
      <c r="G40" s="129">
        <f>ROUND(E40*F40,2)</f>
        <v>1.2</v>
      </c>
      <c r="H40" s="128">
        <v>1.5</v>
      </c>
      <c r="I40" s="130">
        <v>0.05</v>
      </c>
      <c r="J40" s="131">
        <f>SUM(G40:I40)</f>
        <v>2.75</v>
      </c>
      <c r="K40" s="132">
        <f>ROUND(D40*E40,2)</f>
        <v>180</v>
      </c>
      <c r="L40" s="130">
        <f>ROUND(D40*G40,2)</f>
        <v>1440</v>
      </c>
      <c r="M40" s="130">
        <f>ROUND(D40*H40,2)</f>
        <v>1800</v>
      </c>
      <c r="N40" s="130">
        <f>ROUND(D40*I40,2)</f>
        <v>60</v>
      </c>
      <c r="O40" s="28">
        <f>SUM(L40:N40)</f>
        <v>3300</v>
      </c>
      <c r="P40" s="193"/>
      <c r="Q40" s="197"/>
      <c r="R40" s="197"/>
      <c r="S40" s="197"/>
      <c r="T40" s="197"/>
      <c r="U40" s="197"/>
      <c r="V40" s="197"/>
      <c r="W40" s="197"/>
    </row>
    <row r="41" spans="1:24">
      <c r="A41" s="35"/>
      <c r="B41" s="33" t="s">
        <v>43</v>
      </c>
      <c r="C41" s="32"/>
      <c r="D41" s="70"/>
      <c r="E41" s="63"/>
      <c r="F41" s="63"/>
      <c r="G41" s="64"/>
      <c r="H41" s="63"/>
      <c r="I41" s="65"/>
      <c r="J41" s="66"/>
      <c r="K41" s="67"/>
      <c r="L41" s="65"/>
      <c r="M41" s="65"/>
      <c r="N41" s="65"/>
      <c r="O41" s="30"/>
      <c r="P41" s="193"/>
      <c r="Q41" s="197"/>
      <c r="R41" s="197"/>
      <c r="S41" s="197"/>
      <c r="T41" s="197"/>
      <c r="U41" s="197"/>
      <c r="V41" s="197"/>
      <c r="W41" s="197"/>
    </row>
    <row r="42" spans="1:24" ht="31.5">
      <c r="A42" s="155">
        <v>3</v>
      </c>
      <c r="B42" s="139" t="s">
        <v>172</v>
      </c>
      <c r="C42" s="141" t="s">
        <v>135</v>
      </c>
      <c r="D42" s="136">
        <v>1</v>
      </c>
      <c r="E42" s="128"/>
      <c r="F42" s="128"/>
      <c r="G42" s="129">
        <v>4500</v>
      </c>
      <c r="H42" s="128"/>
      <c r="I42" s="130"/>
      <c r="J42" s="131">
        <f t="shared" ref="J42:J48" si="14">SUM(G42:I42)</f>
        <v>4500</v>
      </c>
      <c r="K42" s="132">
        <f t="shared" ref="K42:K48" si="15">ROUND(D42*E42,2)</f>
        <v>0</v>
      </c>
      <c r="L42" s="130">
        <f t="shared" ref="L42:L48" si="16">ROUND(D42*G42,2)</f>
        <v>4500</v>
      </c>
      <c r="M42" s="130">
        <f t="shared" ref="M42:M48" si="17">ROUND(D42*H42,2)</f>
        <v>0</v>
      </c>
      <c r="N42" s="130">
        <f t="shared" ref="N42:N48" si="18">ROUND(D42*I42,2)</f>
        <v>0</v>
      </c>
      <c r="O42" s="28">
        <f t="shared" ref="O42:O48" si="19">SUM(L42:N42)</f>
        <v>4500</v>
      </c>
      <c r="P42" s="193">
        <v>0.12</v>
      </c>
      <c r="Q42" s="197">
        <f>ROUND(O42*P42,2)</f>
        <v>540</v>
      </c>
      <c r="R42" s="197">
        <v>0.05</v>
      </c>
      <c r="S42" s="197">
        <f>ROUND(O42*R42,2)</f>
        <v>225</v>
      </c>
      <c r="T42" s="197">
        <f>O42+Q42+S42</f>
        <v>5265</v>
      </c>
      <c r="U42" s="197">
        <v>1.21</v>
      </c>
      <c r="V42" s="198">
        <f>ROUND(T42*U42,2)</f>
        <v>6370.65</v>
      </c>
      <c r="W42" s="197"/>
      <c r="X42" s="161">
        <f>V42+V48</f>
        <v>27606.15</v>
      </c>
    </row>
    <row r="43" spans="1:24" ht="31.5">
      <c r="A43" s="155">
        <v>4</v>
      </c>
      <c r="B43" s="139" t="s">
        <v>42</v>
      </c>
      <c r="C43" s="141" t="s">
        <v>44</v>
      </c>
      <c r="D43" s="136">
        <v>12</v>
      </c>
      <c r="E43" s="128"/>
      <c r="F43" s="128"/>
      <c r="G43" s="129">
        <v>4900</v>
      </c>
      <c r="H43" s="128"/>
      <c r="I43" s="130"/>
      <c r="J43" s="131">
        <f t="shared" si="14"/>
        <v>4900</v>
      </c>
      <c r="K43" s="132">
        <f t="shared" si="15"/>
        <v>0</v>
      </c>
      <c r="L43" s="130">
        <f t="shared" si="16"/>
        <v>58800</v>
      </c>
      <c r="M43" s="130">
        <f t="shared" si="17"/>
        <v>0</v>
      </c>
      <c r="N43" s="130">
        <f t="shared" si="18"/>
        <v>0</v>
      </c>
      <c r="O43" s="28">
        <f t="shared" si="19"/>
        <v>58800</v>
      </c>
      <c r="P43" s="193">
        <v>0.12</v>
      </c>
      <c r="Q43" s="197">
        <f t="shared" ref="Q43:Q49" si="20">ROUND(O43*P43,2)</f>
        <v>7056</v>
      </c>
      <c r="R43" s="197">
        <v>0.05</v>
      </c>
      <c r="S43" s="197">
        <f t="shared" ref="S43:S49" si="21">ROUND(O43*R43,2)</f>
        <v>2940</v>
      </c>
      <c r="T43" s="197">
        <f t="shared" ref="T43:T49" si="22">O43+Q43+S43</f>
        <v>68796</v>
      </c>
      <c r="U43" s="197">
        <v>1.21</v>
      </c>
      <c r="V43" s="198">
        <f t="shared" ref="V43:V49" si="23">ROUND(T43*U43,2)</f>
        <v>83243.16</v>
      </c>
      <c r="W43" s="197"/>
    </row>
    <row r="44" spans="1:24" ht="31.5">
      <c r="A44" s="155">
        <v>5</v>
      </c>
      <c r="B44" s="139" t="s">
        <v>173</v>
      </c>
      <c r="C44" s="141" t="s">
        <v>44</v>
      </c>
      <c r="D44" s="136">
        <v>12</v>
      </c>
      <c r="E44" s="128"/>
      <c r="F44" s="128"/>
      <c r="G44" s="129">
        <v>3000</v>
      </c>
      <c r="H44" s="128"/>
      <c r="I44" s="130"/>
      <c r="J44" s="131">
        <f t="shared" si="14"/>
        <v>3000</v>
      </c>
      <c r="K44" s="132">
        <f t="shared" si="15"/>
        <v>0</v>
      </c>
      <c r="L44" s="130">
        <f t="shared" si="16"/>
        <v>36000</v>
      </c>
      <c r="M44" s="130">
        <f t="shared" si="17"/>
        <v>0</v>
      </c>
      <c r="N44" s="130">
        <f t="shared" si="18"/>
        <v>0</v>
      </c>
      <c r="O44" s="28">
        <f t="shared" si="19"/>
        <v>36000</v>
      </c>
      <c r="P44" s="193">
        <v>0.12</v>
      </c>
      <c r="Q44" s="197">
        <f t="shared" si="20"/>
        <v>4320</v>
      </c>
      <c r="R44" s="197">
        <v>0.05</v>
      </c>
      <c r="S44" s="197">
        <f t="shared" si="21"/>
        <v>1800</v>
      </c>
      <c r="T44" s="197">
        <f t="shared" si="22"/>
        <v>42120</v>
      </c>
      <c r="U44" s="197">
        <v>1.21</v>
      </c>
      <c r="V44" s="198">
        <f t="shared" si="23"/>
        <v>50965.2</v>
      </c>
      <c r="W44" s="197"/>
      <c r="X44" s="161">
        <f>V44+V45</f>
        <v>66070.720000000001</v>
      </c>
    </row>
    <row r="45" spans="1:24" ht="31.5">
      <c r="A45" s="155">
        <v>6</v>
      </c>
      <c r="B45" s="139" t="s">
        <v>138</v>
      </c>
      <c r="C45" s="141" t="s">
        <v>135</v>
      </c>
      <c r="D45" s="136">
        <v>1</v>
      </c>
      <c r="E45" s="128"/>
      <c r="F45" s="128"/>
      <c r="G45" s="129">
        <v>10670</v>
      </c>
      <c r="H45" s="128"/>
      <c r="I45" s="130"/>
      <c r="J45" s="131">
        <f t="shared" si="14"/>
        <v>10670</v>
      </c>
      <c r="K45" s="132">
        <f t="shared" si="15"/>
        <v>0</v>
      </c>
      <c r="L45" s="130">
        <f t="shared" si="16"/>
        <v>10670</v>
      </c>
      <c r="M45" s="130">
        <f t="shared" si="17"/>
        <v>0</v>
      </c>
      <c r="N45" s="130">
        <f t="shared" si="18"/>
        <v>0</v>
      </c>
      <c r="O45" s="28">
        <f t="shared" si="19"/>
        <v>10670</v>
      </c>
      <c r="P45" s="193">
        <v>0.12</v>
      </c>
      <c r="Q45" s="197">
        <f t="shared" si="20"/>
        <v>1280.4000000000001</v>
      </c>
      <c r="R45" s="197">
        <v>0.05</v>
      </c>
      <c r="S45" s="197">
        <f t="shared" si="21"/>
        <v>533.5</v>
      </c>
      <c r="T45" s="197">
        <f t="shared" si="22"/>
        <v>12483.9</v>
      </c>
      <c r="U45" s="197">
        <v>1.21</v>
      </c>
      <c r="V45" s="198">
        <f t="shared" si="23"/>
        <v>15105.52</v>
      </c>
      <c r="W45" s="197"/>
    </row>
    <row r="46" spans="1:24" ht="31.5">
      <c r="A46" s="155">
        <v>7</v>
      </c>
      <c r="B46" s="139" t="s">
        <v>139</v>
      </c>
      <c r="C46" s="141" t="s">
        <v>135</v>
      </c>
      <c r="D46" s="136">
        <v>1</v>
      </c>
      <c r="E46" s="128"/>
      <c r="F46" s="128"/>
      <c r="G46" s="129">
        <v>4500</v>
      </c>
      <c r="H46" s="128"/>
      <c r="I46" s="130"/>
      <c r="J46" s="131">
        <f t="shared" si="14"/>
        <v>4500</v>
      </c>
      <c r="K46" s="132">
        <f t="shared" si="15"/>
        <v>0</v>
      </c>
      <c r="L46" s="130">
        <f t="shared" si="16"/>
        <v>4500</v>
      </c>
      <c r="M46" s="130">
        <f t="shared" si="17"/>
        <v>0</v>
      </c>
      <c r="N46" s="130">
        <f t="shared" si="18"/>
        <v>0</v>
      </c>
      <c r="O46" s="28">
        <f t="shared" si="19"/>
        <v>4500</v>
      </c>
      <c r="P46" s="193">
        <v>0.12</v>
      </c>
      <c r="Q46" s="197">
        <f t="shared" si="20"/>
        <v>540</v>
      </c>
      <c r="R46" s="197">
        <v>0.05</v>
      </c>
      <c r="S46" s="197">
        <f t="shared" si="21"/>
        <v>225</v>
      </c>
      <c r="T46" s="197">
        <f t="shared" si="22"/>
        <v>5265</v>
      </c>
      <c r="U46" s="197">
        <v>1.21</v>
      </c>
      <c r="V46" s="198">
        <f t="shared" si="23"/>
        <v>6370.65</v>
      </c>
      <c r="W46" s="197"/>
      <c r="X46" s="161">
        <f>V46+V47</f>
        <v>24774.75</v>
      </c>
    </row>
    <row r="47" spans="1:24" ht="31.5">
      <c r="A47" s="155">
        <v>8</v>
      </c>
      <c r="B47" s="139" t="s">
        <v>174</v>
      </c>
      <c r="C47" s="141" t="s">
        <v>135</v>
      </c>
      <c r="D47" s="136">
        <v>1</v>
      </c>
      <c r="E47" s="128"/>
      <c r="F47" s="128"/>
      <c r="G47" s="129">
        <v>13000</v>
      </c>
      <c r="H47" s="128"/>
      <c r="I47" s="130"/>
      <c r="J47" s="131">
        <f>SUM(G47:I47)</f>
        <v>13000</v>
      </c>
      <c r="K47" s="132">
        <f t="shared" si="15"/>
        <v>0</v>
      </c>
      <c r="L47" s="130">
        <f t="shared" si="16"/>
        <v>13000</v>
      </c>
      <c r="M47" s="130">
        <f t="shared" si="17"/>
        <v>0</v>
      </c>
      <c r="N47" s="130">
        <f t="shared" si="18"/>
        <v>0</v>
      </c>
      <c r="O47" s="28">
        <f t="shared" si="19"/>
        <v>13000</v>
      </c>
      <c r="P47" s="193">
        <v>0.12</v>
      </c>
      <c r="Q47" s="197">
        <f t="shared" si="20"/>
        <v>1560</v>
      </c>
      <c r="R47" s="197">
        <v>0.05</v>
      </c>
      <c r="S47" s="197">
        <f t="shared" si="21"/>
        <v>650</v>
      </c>
      <c r="T47" s="197">
        <f t="shared" si="22"/>
        <v>15210</v>
      </c>
      <c r="U47" s="197">
        <v>1.21</v>
      </c>
      <c r="V47" s="198">
        <f t="shared" si="23"/>
        <v>18404.099999999999</v>
      </c>
      <c r="W47" s="197"/>
    </row>
    <row r="48" spans="1:24" ht="31.5">
      <c r="A48" s="155">
        <v>9</v>
      </c>
      <c r="B48" s="139" t="s">
        <v>175</v>
      </c>
      <c r="C48" s="135" t="s">
        <v>135</v>
      </c>
      <c r="D48" s="136">
        <v>1</v>
      </c>
      <c r="E48" s="128"/>
      <c r="F48" s="128"/>
      <c r="G48" s="129">
        <v>15000</v>
      </c>
      <c r="H48" s="128"/>
      <c r="I48" s="130"/>
      <c r="J48" s="131">
        <f t="shared" si="14"/>
        <v>15000</v>
      </c>
      <c r="K48" s="132">
        <f t="shared" si="15"/>
        <v>0</v>
      </c>
      <c r="L48" s="130">
        <f t="shared" si="16"/>
        <v>15000</v>
      </c>
      <c r="M48" s="130">
        <f t="shared" si="17"/>
        <v>0</v>
      </c>
      <c r="N48" s="130">
        <f t="shared" si="18"/>
        <v>0</v>
      </c>
      <c r="O48" s="28">
        <f t="shared" si="19"/>
        <v>15000</v>
      </c>
      <c r="P48" s="193">
        <v>0.12</v>
      </c>
      <c r="Q48" s="197">
        <f t="shared" si="20"/>
        <v>1800</v>
      </c>
      <c r="R48" s="197">
        <v>0.05</v>
      </c>
      <c r="S48" s="197">
        <f t="shared" si="21"/>
        <v>750</v>
      </c>
      <c r="T48" s="197">
        <f t="shared" si="22"/>
        <v>17550</v>
      </c>
      <c r="U48" s="197">
        <v>1.21</v>
      </c>
      <c r="V48" s="198">
        <f t="shared" si="23"/>
        <v>21235.5</v>
      </c>
      <c r="W48" s="197"/>
    </row>
    <row r="49" spans="1:23">
      <c r="A49" s="379" t="s">
        <v>19</v>
      </c>
      <c r="B49" s="379"/>
      <c r="C49" s="379"/>
      <c r="D49" s="379"/>
      <c r="E49" s="379"/>
      <c r="F49" s="379"/>
      <c r="G49" s="379"/>
      <c r="H49" s="379"/>
      <c r="I49" s="379"/>
      <c r="J49" s="379"/>
      <c r="K49" s="34">
        <f>SUM(K11:K48)</f>
        <v>21912.509999999995</v>
      </c>
      <c r="L49" s="34">
        <f>SUM(L11:L48)</f>
        <v>804445.2300000001</v>
      </c>
      <c r="M49" s="34">
        <f>SUM(M11:M48)</f>
        <v>327072.10000000003</v>
      </c>
      <c r="N49" s="34">
        <f>SUM(N11:N48)</f>
        <v>80678</v>
      </c>
      <c r="O49" s="34">
        <f>SUM(O11:O48)</f>
        <v>1212195.3299999998</v>
      </c>
      <c r="P49" s="193">
        <v>0.12</v>
      </c>
      <c r="Q49" s="197">
        <f t="shared" si="20"/>
        <v>145463.44</v>
      </c>
      <c r="R49" s="197">
        <v>0.05</v>
      </c>
      <c r="S49" s="197">
        <f t="shared" si="21"/>
        <v>60609.77</v>
      </c>
      <c r="T49" s="197">
        <f t="shared" si="22"/>
        <v>1418268.5399999998</v>
      </c>
      <c r="U49" s="197">
        <v>1.21</v>
      </c>
      <c r="V49" s="198">
        <f t="shared" si="23"/>
        <v>1716104.93</v>
      </c>
      <c r="W49" s="197"/>
    </row>
    <row r="50" spans="1:23" ht="12" customHeight="1">
      <c r="A50" s="162"/>
      <c r="B50" s="164"/>
      <c r="C50" s="165"/>
      <c r="D50" s="166"/>
      <c r="E50" s="167"/>
      <c r="F50" s="167"/>
      <c r="G50" s="167"/>
      <c r="H50" s="167"/>
      <c r="I50" s="168"/>
      <c r="J50" s="167"/>
      <c r="K50" s="167"/>
      <c r="L50" s="167"/>
      <c r="M50" s="167"/>
      <c r="N50" s="167"/>
      <c r="O50" s="167"/>
    </row>
    <row r="51" spans="1:23">
      <c r="A51" s="169"/>
      <c r="B51" s="170"/>
      <c r="C51" s="161"/>
      <c r="D51" s="162"/>
      <c r="E51" s="162"/>
      <c r="F51" s="162"/>
      <c r="G51" s="162"/>
      <c r="I51" s="162"/>
      <c r="J51" s="162"/>
      <c r="K51" s="162"/>
      <c r="L51" s="162"/>
      <c r="M51" s="162"/>
      <c r="N51" s="162"/>
      <c r="O51" s="162"/>
    </row>
    <row r="52" spans="1:23">
      <c r="A52" s="160"/>
      <c r="B52" s="170"/>
      <c r="C52" s="161"/>
      <c r="D52" s="162"/>
      <c r="E52" s="162"/>
      <c r="F52" s="162"/>
      <c r="G52" s="162"/>
      <c r="H52" s="377"/>
      <c r="I52" s="377"/>
      <c r="J52" s="162"/>
      <c r="K52" s="162"/>
      <c r="L52" s="162"/>
      <c r="M52" s="162"/>
      <c r="N52" s="162"/>
      <c r="O52" s="162"/>
      <c r="V52" s="161">
        <f>V49-X42-X44-X46</f>
        <v>1597653.31</v>
      </c>
    </row>
    <row r="53" spans="1:23">
      <c r="A53" s="378"/>
      <c r="B53" s="378"/>
      <c r="C53" s="161"/>
      <c r="D53" s="162"/>
      <c r="E53" s="162"/>
      <c r="F53" s="162"/>
      <c r="G53" s="162"/>
      <c r="H53" s="162"/>
      <c r="I53" s="162"/>
      <c r="J53" s="162"/>
      <c r="K53" s="162"/>
      <c r="L53" s="162"/>
      <c r="M53" s="162"/>
      <c r="N53" s="162"/>
      <c r="O53" s="162"/>
    </row>
    <row r="54" spans="1:23">
      <c r="A54" s="160"/>
      <c r="B54" s="170"/>
      <c r="C54" s="161"/>
      <c r="D54" s="162"/>
      <c r="E54" s="162"/>
      <c r="F54" s="162"/>
      <c r="G54" s="162"/>
      <c r="H54" s="162"/>
      <c r="I54" s="162"/>
      <c r="J54" s="162"/>
      <c r="K54" s="162"/>
      <c r="L54" s="162"/>
      <c r="M54" s="162"/>
      <c r="N54" s="162"/>
      <c r="O54" s="162"/>
    </row>
    <row r="55" spans="1:23">
      <c r="A55" s="169"/>
      <c r="B55" s="170"/>
      <c r="C55" s="161"/>
      <c r="D55" s="162"/>
      <c r="E55" s="162"/>
      <c r="F55" s="162"/>
      <c r="G55" s="162"/>
      <c r="H55" s="378"/>
      <c r="I55" s="378"/>
      <c r="J55" s="162"/>
      <c r="K55" s="162"/>
      <c r="L55" s="162"/>
      <c r="M55" s="162"/>
      <c r="N55" s="162"/>
      <c r="O55" s="162"/>
    </row>
    <row r="56" spans="1:23">
      <c r="A56" s="160"/>
      <c r="B56" s="170"/>
      <c r="C56" s="161"/>
      <c r="D56" s="162"/>
      <c r="E56" s="162"/>
      <c r="F56" s="162"/>
      <c r="G56" s="162"/>
      <c r="H56" s="377"/>
      <c r="I56" s="377"/>
      <c r="J56" s="162"/>
      <c r="K56" s="162"/>
      <c r="L56" s="162"/>
      <c r="M56" s="162"/>
      <c r="N56" s="162"/>
      <c r="O56" s="162"/>
    </row>
    <row r="57" spans="1:23">
      <c r="A57" s="378"/>
      <c r="B57" s="378"/>
      <c r="C57" s="161"/>
      <c r="D57" s="162"/>
      <c r="E57" s="162"/>
      <c r="F57" s="162"/>
      <c r="G57" s="162"/>
      <c r="H57" s="162"/>
      <c r="I57" s="162"/>
      <c r="J57" s="162"/>
      <c r="K57" s="162"/>
      <c r="L57" s="162"/>
      <c r="M57" s="162"/>
      <c r="N57" s="162"/>
      <c r="O57" s="162"/>
    </row>
    <row r="58" spans="1:23">
      <c r="A58" s="161"/>
      <c r="D58" s="162"/>
      <c r="E58" s="159"/>
      <c r="F58" s="159"/>
    </row>
    <row r="59" spans="1:23">
      <c r="A59" s="161"/>
      <c r="E59" s="161"/>
    </row>
    <row r="60" spans="1:23">
      <c r="A60" s="161"/>
      <c r="E60" s="161"/>
    </row>
  </sheetData>
  <mergeCells count="20">
    <mergeCell ref="K9:O9"/>
    <mergeCell ref="A49:J49"/>
    <mergeCell ref="A1:N1"/>
    <mergeCell ref="A2:N2"/>
    <mergeCell ref="A4:B4"/>
    <mergeCell ref="C4:L4"/>
    <mergeCell ref="A5:B5"/>
    <mergeCell ref="C5:L5"/>
    <mergeCell ref="A6:B6"/>
    <mergeCell ref="C6:L6"/>
    <mergeCell ref="B9:B10"/>
    <mergeCell ref="C9:C10"/>
    <mergeCell ref="D9:D10"/>
    <mergeCell ref="E9:J9"/>
    <mergeCell ref="A9:A10"/>
    <mergeCell ref="H52:I52"/>
    <mergeCell ref="A53:B53"/>
    <mergeCell ref="H55:I55"/>
    <mergeCell ref="H56:I56"/>
    <mergeCell ref="A57:B57"/>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X385"/>
  <sheetViews>
    <sheetView topLeftCell="A364" zoomScale="50" zoomScaleNormal="50" workbookViewId="0">
      <selection activeCell="I393" sqref="I393"/>
    </sheetView>
  </sheetViews>
  <sheetFormatPr defaultColWidth="9.140625" defaultRowHeight="15.75"/>
  <cols>
    <col min="1" max="1" width="5.7109375" style="227" customWidth="1"/>
    <col min="2" max="2" width="34.85546875" style="210" customWidth="1"/>
    <col min="3" max="3" width="6.28515625" style="209" customWidth="1"/>
    <col min="4" max="4" width="11.42578125" style="209" customWidth="1"/>
    <col min="5" max="5" width="8.7109375" style="228" customWidth="1"/>
    <col min="6" max="6" width="7.28515625" style="210" customWidth="1"/>
    <col min="7" max="7" width="10.85546875" style="210" customWidth="1"/>
    <col min="8" max="8" width="10.7109375" style="210" customWidth="1"/>
    <col min="9" max="9" width="8.42578125" style="210" customWidth="1"/>
    <col min="10" max="10" width="10.5703125" style="210" customWidth="1"/>
    <col min="11" max="11" width="11.42578125" style="210" customWidth="1"/>
    <col min="12" max="12" width="13.7109375" style="210" customWidth="1"/>
    <col min="13" max="13" width="13.140625" style="210" customWidth="1"/>
    <col min="14" max="14" width="10.5703125" style="210" customWidth="1"/>
    <col min="15" max="15" width="12" style="210" customWidth="1"/>
    <col min="16" max="18" width="9.140625" style="210"/>
    <col min="19" max="19" width="16.28515625" style="210" customWidth="1"/>
    <col min="20" max="20" width="15.28515625" style="210" customWidth="1"/>
    <col min="21" max="21" width="9.140625" style="210"/>
    <col min="22" max="22" width="17.5703125" style="210" customWidth="1"/>
    <col min="23" max="23" width="9.140625" style="210"/>
    <col min="24" max="24" width="12.5703125" style="210" customWidth="1"/>
    <col min="25" max="16384" width="9.140625" style="210"/>
  </cols>
  <sheetData>
    <row r="1" spans="1:22" s="207" customFormat="1" ht="16.5" thickBot="1">
      <c r="A1" s="380" t="s">
        <v>63</v>
      </c>
      <c r="B1" s="380"/>
      <c r="C1" s="380"/>
      <c r="D1" s="380"/>
      <c r="E1" s="380"/>
      <c r="F1" s="380"/>
      <c r="G1" s="380"/>
      <c r="H1" s="380"/>
      <c r="I1" s="380"/>
      <c r="J1" s="380"/>
      <c r="K1" s="380"/>
      <c r="L1" s="380"/>
      <c r="M1" s="380"/>
      <c r="N1" s="380"/>
      <c r="O1" s="20"/>
    </row>
    <row r="2" spans="1:22" s="207" customFormat="1" ht="16.5" customHeight="1" thickTop="1">
      <c r="A2" s="375" t="s">
        <v>45</v>
      </c>
      <c r="B2" s="375"/>
      <c r="C2" s="375"/>
      <c r="D2" s="375"/>
      <c r="E2" s="375"/>
      <c r="F2" s="375"/>
      <c r="G2" s="375"/>
      <c r="H2" s="375"/>
      <c r="I2" s="375"/>
      <c r="J2" s="375"/>
      <c r="K2" s="375"/>
      <c r="L2" s="375"/>
      <c r="M2" s="375"/>
      <c r="N2" s="375"/>
      <c r="O2" s="20"/>
    </row>
    <row r="3" spans="1:22">
      <c r="A3" s="229"/>
      <c r="B3" s="230"/>
      <c r="C3" s="230"/>
      <c r="D3" s="230"/>
      <c r="E3" s="27"/>
      <c r="F3" s="27"/>
      <c r="G3" s="27"/>
      <c r="H3" s="27"/>
      <c r="I3" s="27"/>
      <c r="J3" s="27"/>
      <c r="K3" s="27"/>
      <c r="L3" s="27"/>
      <c r="M3" s="27"/>
      <c r="N3" s="27"/>
      <c r="O3" s="27"/>
    </row>
    <row r="4" spans="1:22">
      <c r="A4" s="387" t="s">
        <v>4</v>
      </c>
      <c r="B4" s="387"/>
      <c r="C4" s="384" t="s">
        <v>40</v>
      </c>
      <c r="D4" s="384"/>
      <c r="E4" s="384"/>
      <c r="F4" s="384"/>
      <c r="G4" s="384"/>
      <c r="H4" s="384"/>
      <c r="I4" s="384"/>
      <c r="J4" s="384"/>
      <c r="K4" s="384"/>
      <c r="L4" s="384"/>
      <c r="M4" s="27"/>
      <c r="N4" s="27"/>
      <c r="O4" s="27"/>
    </row>
    <row r="5" spans="1:22">
      <c r="A5" s="387" t="s">
        <v>5</v>
      </c>
      <c r="B5" s="387"/>
      <c r="C5" s="384" t="s">
        <v>41</v>
      </c>
      <c r="D5" s="384"/>
      <c r="E5" s="384"/>
      <c r="F5" s="384"/>
      <c r="G5" s="384"/>
      <c r="H5" s="384"/>
      <c r="I5" s="384"/>
      <c r="J5" s="384"/>
      <c r="K5" s="384"/>
      <c r="L5" s="384"/>
      <c r="M5" s="27"/>
      <c r="N5" s="27"/>
      <c r="O5" s="27"/>
    </row>
    <row r="6" spans="1:22">
      <c r="A6" s="384"/>
      <c r="B6" s="384"/>
      <c r="C6" s="384"/>
      <c r="D6" s="384"/>
      <c r="E6" s="384"/>
      <c r="F6" s="384"/>
      <c r="G6" s="384"/>
      <c r="H6" s="384"/>
      <c r="I6" s="384"/>
      <c r="J6" s="384"/>
      <c r="K6" s="384"/>
      <c r="L6" s="384"/>
      <c r="M6" s="27"/>
      <c r="N6" s="27"/>
      <c r="O6" s="27"/>
    </row>
    <row r="7" spans="1:22" s="207" customFormat="1">
      <c r="A7" s="231"/>
      <c r="B7" s="232"/>
      <c r="C7" s="232"/>
      <c r="D7" s="232"/>
      <c r="E7" s="232"/>
      <c r="F7" s="232"/>
      <c r="G7" s="232"/>
      <c r="H7" s="20"/>
      <c r="I7" s="20"/>
      <c r="J7" s="20"/>
      <c r="K7" s="20"/>
      <c r="L7" s="20"/>
      <c r="M7" s="20"/>
      <c r="N7" s="20"/>
      <c r="O7" s="20"/>
    </row>
    <row r="8" spans="1:22" s="207" customFormat="1">
      <c r="A8" s="20"/>
      <c r="B8" s="22"/>
      <c r="C8" s="22"/>
      <c r="D8" s="22"/>
      <c r="E8" s="20"/>
      <c r="F8" s="20"/>
      <c r="G8" s="20"/>
      <c r="H8" s="20"/>
      <c r="I8" s="20"/>
      <c r="J8" s="20"/>
      <c r="K8" s="233" t="s">
        <v>6</v>
      </c>
      <c r="L8" s="24">
        <f>O377</f>
        <v>1148493.0230000005</v>
      </c>
      <c r="M8" s="234" t="s">
        <v>7</v>
      </c>
      <c r="N8" s="20"/>
      <c r="O8" s="20"/>
    </row>
    <row r="9" spans="1:22" s="207" customFormat="1">
      <c r="A9" s="20"/>
      <c r="B9" s="22"/>
      <c r="C9" s="22"/>
      <c r="D9" s="22"/>
      <c r="E9" s="20"/>
      <c r="F9" s="20"/>
      <c r="G9" s="20"/>
      <c r="H9" s="20"/>
      <c r="I9" s="20"/>
      <c r="J9" s="20"/>
      <c r="K9" s="233"/>
      <c r="L9" s="20"/>
      <c r="M9" s="234"/>
      <c r="N9" s="20"/>
      <c r="O9" s="20"/>
    </row>
    <row r="10" spans="1:22" ht="12.75" customHeight="1">
      <c r="A10" s="372" t="s">
        <v>8</v>
      </c>
      <c r="B10" s="373" t="s">
        <v>1</v>
      </c>
      <c r="C10" s="372" t="s">
        <v>2</v>
      </c>
      <c r="D10" s="372" t="s">
        <v>3</v>
      </c>
      <c r="E10" s="373" t="s">
        <v>9</v>
      </c>
      <c r="F10" s="373"/>
      <c r="G10" s="373"/>
      <c r="H10" s="373"/>
      <c r="I10" s="373"/>
      <c r="J10" s="373"/>
      <c r="K10" s="373" t="s">
        <v>10</v>
      </c>
      <c r="L10" s="373"/>
      <c r="M10" s="373"/>
      <c r="N10" s="373"/>
      <c r="O10" s="373"/>
      <c r="P10" s="161"/>
    </row>
    <row r="11" spans="1:22" ht="84.75">
      <c r="A11" s="385"/>
      <c r="B11" s="386"/>
      <c r="C11" s="385"/>
      <c r="D11" s="385"/>
      <c r="E11" s="38" t="s">
        <v>11</v>
      </c>
      <c r="F11" s="105" t="s">
        <v>12</v>
      </c>
      <c r="G11" s="105" t="s">
        <v>17</v>
      </c>
      <c r="H11" s="105" t="s">
        <v>13</v>
      </c>
      <c r="I11" s="105" t="s">
        <v>14</v>
      </c>
      <c r="J11" s="105" t="s">
        <v>15</v>
      </c>
      <c r="K11" s="105" t="s">
        <v>16</v>
      </c>
      <c r="L11" s="105" t="s">
        <v>17</v>
      </c>
      <c r="M11" s="105" t="s">
        <v>13</v>
      </c>
      <c r="N11" s="105" t="s">
        <v>14</v>
      </c>
      <c r="O11" s="105" t="s">
        <v>18</v>
      </c>
      <c r="P11" s="212"/>
      <c r="Q11" s="213" t="s">
        <v>470</v>
      </c>
      <c r="R11" s="213"/>
      <c r="S11" s="213" t="s">
        <v>469</v>
      </c>
      <c r="T11" s="213" t="s">
        <v>472</v>
      </c>
      <c r="U11" s="213"/>
      <c r="V11" s="213" t="s">
        <v>38</v>
      </c>
    </row>
    <row r="12" spans="1:22" ht="31.5">
      <c r="A12" s="39"/>
      <c r="B12" s="40" t="s">
        <v>176</v>
      </c>
      <c r="C12" s="39"/>
      <c r="D12" s="41"/>
      <c r="E12" s="42"/>
      <c r="F12" s="42"/>
      <c r="G12" s="43"/>
      <c r="H12" s="42"/>
      <c r="I12" s="44"/>
      <c r="J12" s="45"/>
      <c r="K12" s="46"/>
      <c r="L12" s="44"/>
      <c r="M12" s="44"/>
      <c r="N12" s="44"/>
      <c r="O12" s="30"/>
      <c r="P12" s="193"/>
      <c r="Q12" s="214"/>
      <c r="R12" s="214"/>
      <c r="S12" s="214"/>
      <c r="T12" s="214"/>
      <c r="U12" s="214"/>
      <c r="V12" s="214"/>
    </row>
    <row r="13" spans="1:22">
      <c r="A13" s="39"/>
      <c r="B13" s="82" t="s">
        <v>177</v>
      </c>
      <c r="C13" s="39"/>
      <c r="D13" s="41"/>
      <c r="E13" s="42"/>
      <c r="F13" s="42"/>
      <c r="G13" s="43"/>
      <c r="H13" s="42"/>
      <c r="I13" s="44"/>
      <c r="J13" s="45"/>
      <c r="K13" s="46"/>
      <c r="L13" s="44"/>
      <c r="M13" s="44"/>
      <c r="N13" s="44"/>
      <c r="O13" s="30"/>
      <c r="P13" s="193"/>
      <c r="Q13" s="214"/>
      <c r="R13" s="214"/>
      <c r="S13" s="214"/>
      <c r="T13" s="214"/>
      <c r="U13" s="214"/>
      <c r="V13" s="214"/>
    </row>
    <row r="14" spans="1:22">
      <c r="A14" s="36" t="s">
        <v>39</v>
      </c>
      <c r="B14" s="181" t="s">
        <v>178</v>
      </c>
      <c r="C14" s="182" t="s">
        <v>81</v>
      </c>
      <c r="D14" s="237">
        <v>1</v>
      </c>
      <c r="E14" s="48">
        <v>0.45</v>
      </c>
      <c r="F14" s="48">
        <v>8</v>
      </c>
      <c r="G14" s="49">
        <f>ROUND(E14*F14,2)*1.3</f>
        <v>4.6800000000000006</v>
      </c>
      <c r="H14" s="48">
        <f>12.91*1.3</f>
        <v>16.783000000000001</v>
      </c>
      <c r="I14" s="50">
        <v>0.15</v>
      </c>
      <c r="J14" s="51">
        <f t="shared" ref="J14:J169" si="0">SUM(G14:I14)</f>
        <v>21.613</v>
      </c>
      <c r="K14" s="52">
        <f t="shared" ref="K14:K169" si="1">ROUND(D14*E14,2)</f>
        <v>0.45</v>
      </c>
      <c r="L14" s="50">
        <f t="shared" ref="L14:L169" si="2">ROUND(D14*G14,2)</f>
        <v>4.68</v>
      </c>
      <c r="M14" s="50">
        <f>ROUND(D14*H14,2)*1.3</f>
        <v>21.814000000000004</v>
      </c>
      <c r="N14" s="50">
        <f t="shared" ref="N14:N169" si="3">ROUND(D14*I14,2)</f>
        <v>0.15</v>
      </c>
      <c r="O14" s="28">
        <f t="shared" ref="O14:O169" si="4">SUM(L14:N14)</f>
        <v>26.644000000000002</v>
      </c>
      <c r="P14" s="193"/>
      <c r="Q14" s="214"/>
      <c r="R14" s="214"/>
      <c r="S14" s="214"/>
      <c r="T14" s="214"/>
      <c r="U14" s="214"/>
      <c r="V14" s="214"/>
    </row>
    <row r="15" spans="1:22">
      <c r="A15" s="133" t="s">
        <v>71</v>
      </c>
      <c r="B15" s="134" t="s">
        <v>179</v>
      </c>
      <c r="C15" s="135" t="s">
        <v>81</v>
      </c>
      <c r="D15" s="238">
        <v>20</v>
      </c>
      <c r="E15" s="48">
        <v>0.65</v>
      </c>
      <c r="F15" s="48">
        <v>8</v>
      </c>
      <c r="G15" s="49">
        <f>ROUND(E15*F15,2)*1.3</f>
        <v>6.7600000000000007</v>
      </c>
      <c r="H15" s="48">
        <f>1.35*1.3</f>
        <v>1.7550000000000001</v>
      </c>
      <c r="I15" s="50">
        <v>0.15</v>
      </c>
      <c r="J15" s="51">
        <f t="shared" si="0"/>
        <v>8.6650000000000009</v>
      </c>
      <c r="K15" s="52">
        <f t="shared" si="1"/>
        <v>13</v>
      </c>
      <c r="L15" s="50">
        <f t="shared" si="2"/>
        <v>135.19999999999999</v>
      </c>
      <c r="M15" s="50">
        <f>ROUND(D15*H15,2)*1.3</f>
        <v>45.63</v>
      </c>
      <c r="N15" s="50">
        <f t="shared" si="3"/>
        <v>3</v>
      </c>
      <c r="O15" s="28">
        <f t="shared" si="4"/>
        <v>183.82999999999998</v>
      </c>
      <c r="P15" s="193"/>
      <c r="Q15" s="214"/>
      <c r="R15" s="214"/>
      <c r="S15" s="214"/>
      <c r="T15" s="214"/>
      <c r="U15" s="214"/>
      <c r="V15" s="214"/>
    </row>
    <row r="16" spans="1:22">
      <c r="A16" s="133" t="s">
        <v>74</v>
      </c>
      <c r="B16" s="134" t="s">
        <v>180</v>
      </c>
      <c r="C16" s="135" t="s">
        <v>81</v>
      </c>
      <c r="D16" s="238">
        <v>45</v>
      </c>
      <c r="E16" s="48">
        <v>0.65</v>
      </c>
      <c r="F16" s="48">
        <v>8</v>
      </c>
      <c r="G16" s="49">
        <f>ROUND(E16*F16,2)*1.3</f>
        <v>6.7600000000000007</v>
      </c>
      <c r="H16" s="48">
        <v>1.65</v>
      </c>
      <c r="I16" s="50">
        <v>0.15</v>
      </c>
      <c r="J16" s="51">
        <f t="shared" si="0"/>
        <v>8.56</v>
      </c>
      <c r="K16" s="52">
        <f t="shared" si="1"/>
        <v>29.25</v>
      </c>
      <c r="L16" s="50">
        <f t="shared" si="2"/>
        <v>304.2</v>
      </c>
      <c r="M16" s="50">
        <f>ROUND(D16*H16,2)*1.3</f>
        <v>96.525000000000006</v>
      </c>
      <c r="N16" s="50">
        <f t="shared" si="3"/>
        <v>6.75</v>
      </c>
      <c r="O16" s="28">
        <f t="shared" si="4"/>
        <v>407.47500000000002</v>
      </c>
      <c r="P16" s="193"/>
      <c r="Q16" s="214"/>
      <c r="R16" s="214"/>
      <c r="S16" s="214"/>
      <c r="T16" s="214"/>
      <c r="U16" s="214"/>
      <c r="V16" s="214"/>
    </row>
    <row r="17" spans="1:22">
      <c r="A17" s="133" t="s">
        <v>77</v>
      </c>
      <c r="B17" s="134" t="s">
        <v>181</v>
      </c>
      <c r="C17" s="135" t="s">
        <v>81</v>
      </c>
      <c r="D17" s="239">
        <v>103</v>
      </c>
      <c r="E17" s="48">
        <v>0.65</v>
      </c>
      <c r="F17" s="48">
        <v>8</v>
      </c>
      <c r="G17" s="49">
        <f t="shared" ref="G17:G80" si="5">ROUND(E17*F17,2)*1.3</f>
        <v>6.7600000000000007</v>
      </c>
      <c r="H17" s="48">
        <v>1.35</v>
      </c>
      <c r="I17" s="50">
        <v>0.15</v>
      </c>
      <c r="J17" s="51">
        <f t="shared" si="0"/>
        <v>8.2600000000000016</v>
      </c>
      <c r="K17" s="52">
        <f t="shared" si="1"/>
        <v>66.95</v>
      </c>
      <c r="L17" s="50">
        <f t="shared" si="2"/>
        <v>696.28</v>
      </c>
      <c r="M17" s="50">
        <f t="shared" ref="M17:M80" si="6">ROUND(D17*H17,2)*1.3</f>
        <v>180.76500000000001</v>
      </c>
      <c r="N17" s="50">
        <f t="shared" si="3"/>
        <v>15.45</v>
      </c>
      <c r="O17" s="28">
        <f t="shared" si="4"/>
        <v>892.495</v>
      </c>
      <c r="P17" s="193"/>
      <c r="Q17" s="214"/>
      <c r="R17" s="214"/>
      <c r="S17" s="214"/>
      <c r="T17" s="214"/>
      <c r="U17" s="214"/>
      <c r="V17" s="214"/>
    </row>
    <row r="18" spans="1:22">
      <c r="A18" s="133" t="s">
        <v>79</v>
      </c>
      <c r="B18" s="134" t="s">
        <v>182</v>
      </c>
      <c r="C18" s="135" t="s">
        <v>81</v>
      </c>
      <c r="D18" s="239">
        <v>4</v>
      </c>
      <c r="E18" s="48">
        <v>0.65</v>
      </c>
      <c r="F18" s="48">
        <v>8</v>
      </c>
      <c r="G18" s="49">
        <f t="shared" si="5"/>
        <v>6.7600000000000007</v>
      </c>
      <c r="H18" s="48">
        <v>2.5099999999999998</v>
      </c>
      <c r="I18" s="50">
        <v>0.15</v>
      </c>
      <c r="J18" s="51">
        <f t="shared" si="0"/>
        <v>9.42</v>
      </c>
      <c r="K18" s="52">
        <f t="shared" si="1"/>
        <v>2.6</v>
      </c>
      <c r="L18" s="50">
        <f t="shared" si="2"/>
        <v>27.04</v>
      </c>
      <c r="M18" s="50">
        <f t="shared" si="6"/>
        <v>13.052</v>
      </c>
      <c r="N18" s="50">
        <f t="shared" si="3"/>
        <v>0.6</v>
      </c>
      <c r="O18" s="28">
        <f t="shared" si="4"/>
        <v>40.692</v>
      </c>
      <c r="P18" s="193"/>
      <c r="Q18" s="214"/>
      <c r="R18" s="214"/>
      <c r="S18" s="214"/>
      <c r="T18" s="214"/>
      <c r="U18" s="214"/>
      <c r="V18" s="214"/>
    </row>
    <row r="19" spans="1:22">
      <c r="A19" s="133" t="s">
        <v>82</v>
      </c>
      <c r="B19" s="134" t="s">
        <v>183</v>
      </c>
      <c r="C19" s="135" t="s">
        <v>81</v>
      </c>
      <c r="D19" s="239">
        <v>30</v>
      </c>
      <c r="E19" s="48">
        <v>0.65</v>
      </c>
      <c r="F19" s="48">
        <v>8</v>
      </c>
      <c r="G19" s="49">
        <f t="shared" si="5"/>
        <v>6.7600000000000007</v>
      </c>
      <c r="H19" s="48">
        <v>3</v>
      </c>
      <c r="I19" s="50">
        <v>0.15</v>
      </c>
      <c r="J19" s="51">
        <f t="shared" si="0"/>
        <v>9.9100000000000019</v>
      </c>
      <c r="K19" s="52">
        <f t="shared" si="1"/>
        <v>19.5</v>
      </c>
      <c r="L19" s="50">
        <f t="shared" si="2"/>
        <v>202.8</v>
      </c>
      <c r="M19" s="50">
        <f t="shared" si="6"/>
        <v>117</v>
      </c>
      <c r="N19" s="50">
        <f t="shared" si="3"/>
        <v>4.5</v>
      </c>
      <c r="O19" s="28">
        <f t="shared" si="4"/>
        <v>324.3</v>
      </c>
      <c r="P19" s="193"/>
      <c r="Q19" s="214"/>
      <c r="R19" s="214"/>
      <c r="S19" s="214"/>
      <c r="T19" s="214"/>
      <c r="U19" s="214"/>
      <c r="V19" s="214"/>
    </row>
    <row r="20" spans="1:22">
      <c r="A20" s="133" t="s">
        <v>85</v>
      </c>
      <c r="B20" s="134" t="s">
        <v>184</v>
      </c>
      <c r="C20" s="135" t="s">
        <v>81</v>
      </c>
      <c r="D20" s="239">
        <v>400</v>
      </c>
      <c r="E20" s="48">
        <v>0.65</v>
      </c>
      <c r="F20" s="48">
        <v>8</v>
      </c>
      <c r="G20" s="49">
        <f t="shared" si="5"/>
        <v>6.7600000000000007</v>
      </c>
      <c r="H20" s="48">
        <v>1.34</v>
      </c>
      <c r="I20" s="50">
        <v>0.15</v>
      </c>
      <c r="J20" s="51">
        <f t="shared" si="0"/>
        <v>8.2500000000000018</v>
      </c>
      <c r="K20" s="52">
        <f t="shared" si="1"/>
        <v>260</v>
      </c>
      <c r="L20" s="50">
        <f t="shared" si="2"/>
        <v>2704</v>
      </c>
      <c r="M20" s="50">
        <f t="shared" si="6"/>
        <v>696.80000000000007</v>
      </c>
      <c r="N20" s="50">
        <f t="shared" si="3"/>
        <v>60</v>
      </c>
      <c r="O20" s="28">
        <f t="shared" si="4"/>
        <v>3460.8</v>
      </c>
      <c r="P20" s="193"/>
      <c r="Q20" s="214"/>
      <c r="R20" s="214"/>
      <c r="S20" s="214"/>
      <c r="T20" s="214"/>
      <c r="U20" s="214"/>
      <c r="V20" s="214"/>
    </row>
    <row r="21" spans="1:22">
      <c r="A21" s="133" t="s">
        <v>87</v>
      </c>
      <c r="B21" s="137" t="s">
        <v>185</v>
      </c>
      <c r="C21" s="135" t="s">
        <v>81</v>
      </c>
      <c r="D21" s="238">
        <v>82</v>
      </c>
      <c r="E21" s="48">
        <v>0.65</v>
      </c>
      <c r="F21" s="48">
        <v>8</v>
      </c>
      <c r="G21" s="49">
        <f t="shared" si="5"/>
        <v>6.7600000000000007</v>
      </c>
      <c r="H21" s="48">
        <v>1.83</v>
      </c>
      <c r="I21" s="50">
        <v>0.15</v>
      </c>
      <c r="J21" s="51">
        <f t="shared" si="0"/>
        <v>8.74</v>
      </c>
      <c r="K21" s="52">
        <f t="shared" si="1"/>
        <v>53.3</v>
      </c>
      <c r="L21" s="50">
        <f t="shared" si="2"/>
        <v>554.32000000000005</v>
      </c>
      <c r="M21" s="50">
        <f t="shared" si="6"/>
        <v>195.078</v>
      </c>
      <c r="N21" s="50">
        <f t="shared" si="3"/>
        <v>12.3</v>
      </c>
      <c r="O21" s="28">
        <f t="shared" si="4"/>
        <v>761.69799999999998</v>
      </c>
      <c r="P21" s="193"/>
      <c r="Q21" s="214"/>
      <c r="R21" s="214"/>
      <c r="S21" s="214"/>
      <c r="T21" s="214"/>
      <c r="U21" s="214"/>
      <c r="V21" s="214"/>
    </row>
    <row r="22" spans="1:22">
      <c r="A22" s="133" t="s">
        <v>89</v>
      </c>
      <c r="B22" s="139" t="s">
        <v>186</v>
      </c>
      <c r="C22" s="135" t="s">
        <v>81</v>
      </c>
      <c r="D22" s="240">
        <v>20</v>
      </c>
      <c r="E22" s="48">
        <v>0.65</v>
      </c>
      <c r="F22" s="48">
        <v>8</v>
      </c>
      <c r="G22" s="49">
        <f t="shared" si="5"/>
        <v>6.7600000000000007</v>
      </c>
      <c r="H22" s="48">
        <v>2.6</v>
      </c>
      <c r="I22" s="50">
        <v>0.15</v>
      </c>
      <c r="J22" s="51">
        <f t="shared" si="0"/>
        <v>9.5100000000000016</v>
      </c>
      <c r="K22" s="52">
        <f t="shared" si="1"/>
        <v>13</v>
      </c>
      <c r="L22" s="50">
        <f t="shared" si="2"/>
        <v>135.19999999999999</v>
      </c>
      <c r="M22" s="50">
        <f t="shared" si="6"/>
        <v>67.600000000000009</v>
      </c>
      <c r="N22" s="50">
        <f t="shared" si="3"/>
        <v>3</v>
      </c>
      <c r="O22" s="28">
        <f t="shared" si="4"/>
        <v>205.8</v>
      </c>
      <c r="P22" s="193"/>
      <c r="Q22" s="214"/>
      <c r="R22" s="214"/>
      <c r="S22" s="214"/>
      <c r="T22" s="214"/>
      <c r="U22" s="214"/>
      <c r="V22" s="214"/>
    </row>
    <row r="23" spans="1:22">
      <c r="A23" s="133" t="s">
        <v>91</v>
      </c>
      <c r="B23" s="139" t="s">
        <v>187</v>
      </c>
      <c r="C23" s="135" t="s">
        <v>81</v>
      </c>
      <c r="D23" s="240">
        <v>60</v>
      </c>
      <c r="E23" s="48">
        <v>0.7</v>
      </c>
      <c r="F23" s="48">
        <v>8</v>
      </c>
      <c r="G23" s="49">
        <f t="shared" si="5"/>
        <v>7.2799999999999994</v>
      </c>
      <c r="H23" s="48">
        <v>0.83</v>
      </c>
      <c r="I23" s="50">
        <v>0.15</v>
      </c>
      <c r="J23" s="51">
        <f t="shared" si="0"/>
        <v>8.26</v>
      </c>
      <c r="K23" s="52">
        <f t="shared" si="1"/>
        <v>42</v>
      </c>
      <c r="L23" s="50">
        <f t="shared" si="2"/>
        <v>436.8</v>
      </c>
      <c r="M23" s="50">
        <f t="shared" si="6"/>
        <v>64.739999999999995</v>
      </c>
      <c r="N23" s="50">
        <f t="shared" si="3"/>
        <v>9</v>
      </c>
      <c r="O23" s="28">
        <f t="shared" si="4"/>
        <v>510.54</v>
      </c>
      <c r="P23" s="193"/>
      <c r="Q23" s="214"/>
      <c r="R23" s="214"/>
      <c r="S23" s="214"/>
      <c r="T23" s="214"/>
      <c r="U23" s="214"/>
      <c r="V23" s="214"/>
    </row>
    <row r="24" spans="1:22">
      <c r="A24" s="133" t="s">
        <v>93</v>
      </c>
      <c r="B24" s="139" t="s">
        <v>188</v>
      </c>
      <c r="C24" s="141" t="s">
        <v>81</v>
      </c>
      <c r="D24" s="240">
        <v>700</v>
      </c>
      <c r="E24" s="48">
        <v>0.7</v>
      </c>
      <c r="F24" s="48">
        <v>8</v>
      </c>
      <c r="G24" s="49">
        <f t="shared" si="5"/>
        <v>7.2799999999999994</v>
      </c>
      <c r="H24" s="48">
        <v>0.28000000000000003</v>
      </c>
      <c r="I24" s="50">
        <v>0.15</v>
      </c>
      <c r="J24" s="51">
        <f t="shared" si="0"/>
        <v>7.71</v>
      </c>
      <c r="K24" s="52">
        <f t="shared" si="1"/>
        <v>490</v>
      </c>
      <c r="L24" s="50">
        <f t="shared" si="2"/>
        <v>5096</v>
      </c>
      <c r="M24" s="50">
        <f t="shared" si="6"/>
        <v>254.8</v>
      </c>
      <c r="N24" s="50">
        <f t="shared" si="3"/>
        <v>105</v>
      </c>
      <c r="O24" s="28">
        <f t="shared" si="4"/>
        <v>5455.8</v>
      </c>
      <c r="P24" s="193"/>
      <c r="Q24" s="214"/>
      <c r="R24" s="214"/>
      <c r="S24" s="214"/>
      <c r="T24" s="214"/>
      <c r="U24" s="214"/>
      <c r="V24" s="214"/>
    </row>
    <row r="25" spans="1:22">
      <c r="A25" s="133" t="s">
        <v>95</v>
      </c>
      <c r="B25" s="139" t="s">
        <v>189</v>
      </c>
      <c r="C25" s="141" t="s">
        <v>84</v>
      </c>
      <c r="D25" s="238">
        <v>500</v>
      </c>
      <c r="E25" s="48">
        <v>0.15</v>
      </c>
      <c r="F25" s="48">
        <v>8</v>
      </c>
      <c r="G25" s="49">
        <f t="shared" si="5"/>
        <v>1.56</v>
      </c>
      <c r="H25" s="48">
        <v>0.32</v>
      </c>
      <c r="I25" s="50">
        <v>0.15</v>
      </c>
      <c r="J25" s="51">
        <f t="shared" si="0"/>
        <v>2.0300000000000002</v>
      </c>
      <c r="K25" s="52">
        <f t="shared" si="1"/>
        <v>75</v>
      </c>
      <c r="L25" s="50">
        <f t="shared" si="2"/>
        <v>780</v>
      </c>
      <c r="M25" s="50">
        <f t="shared" si="6"/>
        <v>208</v>
      </c>
      <c r="N25" s="50">
        <f t="shared" si="3"/>
        <v>75</v>
      </c>
      <c r="O25" s="28">
        <f t="shared" si="4"/>
        <v>1063</v>
      </c>
      <c r="P25" s="193"/>
      <c r="Q25" s="214"/>
      <c r="R25" s="214"/>
      <c r="S25" s="214"/>
      <c r="T25" s="214"/>
      <c r="U25" s="214"/>
      <c r="V25" s="214"/>
    </row>
    <row r="26" spans="1:22">
      <c r="A26" s="133" t="s">
        <v>97</v>
      </c>
      <c r="B26" s="139" t="s">
        <v>190</v>
      </c>
      <c r="C26" s="141" t="s">
        <v>84</v>
      </c>
      <c r="D26" s="238">
        <v>300</v>
      </c>
      <c r="E26" s="48">
        <v>0.15</v>
      </c>
      <c r="F26" s="48">
        <v>8</v>
      </c>
      <c r="G26" s="49">
        <f t="shared" si="5"/>
        <v>1.56</v>
      </c>
      <c r="H26" s="48">
        <v>0.54</v>
      </c>
      <c r="I26" s="50">
        <v>0.15</v>
      </c>
      <c r="J26" s="51">
        <f t="shared" si="0"/>
        <v>2.25</v>
      </c>
      <c r="K26" s="52">
        <f t="shared" si="1"/>
        <v>45</v>
      </c>
      <c r="L26" s="50">
        <f t="shared" si="2"/>
        <v>468</v>
      </c>
      <c r="M26" s="50">
        <f t="shared" si="6"/>
        <v>210.6</v>
      </c>
      <c r="N26" s="50">
        <f t="shared" si="3"/>
        <v>45</v>
      </c>
      <c r="O26" s="28">
        <f t="shared" si="4"/>
        <v>723.6</v>
      </c>
      <c r="P26" s="193"/>
      <c r="Q26" s="214"/>
      <c r="R26" s="214"/>
      <c r="S26" s="214"/>
      <c r="T26" s="214"/>
      <c r="U26" s="214"/>
      <c r="V26" s="214"/>
    </row>
    <row r="27" spans="1:22">
      <c r="A27" s="133" t="s">
        <v>99</v>
      </c>
      <c r="B27" s="139" t="s">
        <v>191</v>
      </c>
      <c r="C27" s="141" t="s">
        <v>84</v>
      </c>
      <c r="D27" s="238">
        <v>400</v>
      </c>
      <c r="E27" s="48">
        <v>0.45</v>
      </c>
      <c r="F27" s="48">
        <v>8</v>
      </c>
      <c r="G27" s="49">
        <f t="shared" si="5"/>
        <v>4.6800000000000006</v>
      </c>
      <c r="H27" s="48">
        <v>2.2599999999999998</v>
      </c>
      <c r="I27" s="50">
        <v>0.15</v>
      </c>
      <c r="J27" s="51">
        <f t="shared" si="0"/>
        <v>7.0900000000000007</v>
      </c>
      <c r="K27" s="52">
        <f t="shared" si="1"/>
        <v>180</v>
      </c>
      <c r="L27" s="50">
        <f t="shared" si="2"/>
        <v>1872</v>
      </c>
      <c r="M27" s="50">
        <f t="shared" si="6"/>
        <v>1175.2</v>
      </c>
      <c r="N27" s="50">
        <f t="shared" si="3"/>
        <v>60</v>
      </c>
      <c r="O27" s="28">
        <f t="shared" si="4"/>
        <v>3107.2</v>
      </c>
      <c r="P27" s="193"/>
      <c r="Q27" s="214"/>
      <c r="R27" s="214"/>
      <c r="S27" s="214"/>
      <c r="T27" s="214"/>
      <c r="U27" s="214"/>
      <c r="V27" s="214"/>
    </row>
    <row r="28" spans="1:22">
      <c r="A28" s="133" t="s">
        <v>192</v>
      </c>
      <c r="B28" s="144" t="s">
        <v>193</v>
      </c>
      <c r="C28" s="141" t="s">
        <v>84</v>
      </c>
      <c r="D28" s="240">
        <v>5000</v>
      </c>
      <c r="E28" s="48">
        <v>0.35</v>
      </c>
      <c r="F28" s="48">
        <v>8</v>
      </c>
      <c r="G28" s="49">
        <f t="shared" si="5"/>
        <v>3.6399999999999997</v>
      </c>
      <c r="H28" s="48">
        <v>0.34</v>
      </c>
      <c r="I28" s="50">
        <v>0.05</v>
      </c>
      <c r="J28" s="51">
        <f t="shared" si="0"/>
        <v>4.0299999999999994</v>
      </c>
      <c r="K28" s="52">
        <f t="shared" si="1"/>
        <v>1750</v>
      </c>
      <c r="L28" s="50">
        <f t="shared" si="2"/>
        <v>18200</v>
      </c>
      <c r="M28" s="50">
        <f t="shared" si="6"/>
        <v>2210</v>
      </c>
      <c r="N28" s="50">
        <f t="shared" si="3"/>
        <v>250</v>
      </c>
      <c r="O28" s="28">
        <f t="shared" si="4"/>
        <v>20660</v>
      </c>
      <c r="P28" s="193"/>
      <c r="Q28" s="214"/>
      <c r="R28" s="214"/>
      <c r="S28" s="214"/>
      <c r="T28" s="214"/>
      <c r="U28" s="214"/>
      <c r="V28" s="214"/>
    </row>
    <row r="29" spans="1:22">
      <c r="A29" s="133" t="s">
        <v>194</v>
      </c>
      <c r="B29" s="134" t="s">
        <v>195</v>
      </c>
      <c r="C29" s="141" t="s">
        <v>84</v>
      </c>
      <c r="D29" s="238">
        <v>4000</v>
      </c>
      <c r="E29" s="48">
        <v>0.35</v>
      </c>
      <c r="F29" s="48">
        <v>8</v>
      </c>
      <c r="G29" s="49">
        <f t="shared" si="5"/>
        <v>3.6399999999999997</v>
      </c>
      <c r="H29" s="48">
        <v>0.52</v>
      </c>
      <c r="I29" s="50">
        <v>0.05</v>
      </c>
      <c r="J29" s="51">
        <f t="shared" si="0"/>
        <v>4.21</v>
      </c>
      <c r="K29" s="52">
        <f t="shared" si="1"/>
        <v>1400</v>
      </c>
      <c r="L29" s="50">
        <f t="shared" si="2"/>
        <v>14560</v>
      </c>
      <c r="M29" s="50">
        <f t="shared" si="6"/>
        <v>2704</v>
      </c>
      <c r="N29" s="50">
        <f t="shared" si="3"/>
        <v>200</v>
      </c>
      <c r="O29" s="28">
        <f t="shared" si="4"/>
        <v>17464</v>
      </c>
      <c r="P29" s="193"/>
      <c r="Q29" s="214"/>
      <c r="R29" s="214"/>
      <c r="S29" s="214"/>
      <c r="T29" s="214"/>
      <c r="U29" s="214"/>
      <c r="V29" s="214"/>
    </row>
    <row r="30" spans="1:22">
      <c r="A30" s="133" t="s">
        <v>196</v>
      </c>
      <c r="B30" s="134" t="s">
        <v>197</v>
      </c>
      <c r="C30" s="141" t="s">
        <v>84</v>
      </c>
      <c r="D30" s="238">
        <v>1300</v>
      </c>
      <c r="E30" s="48">
        <v>0.35</v>
      </c>
      <c r="F30" s="48">
        <v>8</v>
      </c>
      <c r="G30" s="49">
        <f t="shared" si="5"/>
        <v>3.6399999999999997</v>
      </c>
      <c r="H30" s="48">
        <v>0.9</v>
      </c>
      <c r="I30" s="50">
        <v>0.05</v>
      </c>
      <c r="J30" s="51">
        <f t="shared" si="0"/>
        <v>4.59</v>
      </c>
      <c r="K30" s="52">
        <f t="shared" si="1"/>
        <v>455</v>
      </c>
      <c r="L30" s="50">
        <f t="shared" si="2"/>
        <v>4732</v>
      </c>
      <c r="M30" s="50">
        <f t="shared" si="6"/>
        <v>1521</v>
      </c>
      <c r="N30" s="50">
        <f t="shared" si="3"/>
        <v>65</v>
      </c>
      <c r="O30" s="28">
        <f t="shared" si="4"/>
        <v>6318</v>
      </c>
      <c r="P30" s="193"/>
      <c r="Q30" s="214"/>
      <c r="R30" s="214"/>
      <c r="S30" s="214"/>
      <c r="T30" s="214"/>
      <c r="U30" s="214"/>
      <c r="V30" s="214"/>
    </row>
    <row r="31" spans="1:22">
      <c r="A31" s="133" t="s">
        <v>198</v>
      </c>
      <c r="B31" s="134" t="s">
        <v>199</v>
      </c>
      <c r="C31" s="141" t="s">
        <v>84</v>
      </c>
      <c r="D31" s="238">
        <v>900</v>
      </c>
      <c r="E31" s="48">
        <v>0.35</v>
      </c>
      <c r="F31" s="48">
        <v>8</v>
      </c>
      <c r="G31" s="49">
        <f t="shared" si="5"/>
        <v>3.6399999999999997</v>
      </c>
      <c r="H31" s="48">
        <v>2.16</v>
      </c>
      <c r="I31" s="50">
        <v>0.05</v>
      </c>
      <c r="J31" s="51">
        <f t="shared" si="0"/>
        <v>5.85</v>
      </c>
      <c r="K31" s="52">
        <f t="shared" si="1"/>
        <v>315</v>
      </c>
      <c r="L31" s="50">
        <f t="shared" si="2"/>
        <v>3276</v>
      </c>
      <c r="M31" s="50">
        <f t="shared" si="6"/>
        <v>2527.2000000000003</v>
      </c>
      <c r="N31" s="50">
        <f t="shared" si="3"/>
        <v>45</v>
      </c>
      <c r="O31" s="28">
        <f t="shared" si="4"/>
        <v>5848.2000000000007</v>
      </c>
      <c r="P31" s="193"/>
      <c r="Q31" s="214"/>
      <c r="R31" s="214"/>
      <c r="S31" s="214"/>
      <c r="T31" s="214"/>
      <c r="U31" s="214"/>
      <c r="V31" s="214"/>
    </row>
    <row r="32" spans="1:22">
      <c r="A32" s="133" t="s">
        <v>200</v>
      </c>
      <c r="B32" s="134" t="s">
        <v>201</v>
      </c>
      <c r="C32" s="141" t="s">
        <v>84</v>
      </c>
      <c r="D32" s="238">
        <v>400</v>
      </c>
      <c r="E32" s="48">
        <v>0.35</v>
      </c>
      <c r="F32" s="48">
        <v>8</v>
      </c>
      <c r="G32" s="49">
        <f t="shared" si="5"/>
        <v>3.6399999999999997</v>
      </c>
      <c r="H32" s="48">
        <v>3.61</v>
      </c>
      <c r="I32" s="50">
        <v>0.05</v>
      </c>
      <c r="J32" s="51">
        <f t="shared" si="0"/>
        <v>7.3</v>
      </c>
      <c r="K32" s="52">
        <f t="shared" si="1"/>
        <v>140</v>
      </c>
      <c r="L32" s="50">
        <f t="shared" si="2"/>
        <v>1456</v>
      </c>
      <c r="M32" s="50">
        <f t="shared" si="6"/>
        <v>1877.2</v>
      </c>
      <c r="N32" s="50">
        <f t="shared" si="3"/>
        <v>20</v>
      </c>
      <c r="O32" s="28">
        <f t="shared" si="4"/>
        <v>3353.2</v>
      </c>
      <c r="P32" s="193"/>
      <c r="Q32" s="214"/>
      <c r="R32" s="214"/>
      <c r="S32" s="214"/>
      <c r="T32" s="214"/>
      <c r="U32" s="214"/>
      <c r="V32" s="214"/>
    </row>
    <row r="33" spans="1:22">
      <c r="A33" s="133" t="s">
        <v>202</v>
      </c>
      <c r="B33" s="137" t="s">
        <v>203</v>
      </c>
      <c r="C33" s="141" t="s">
        <v>84</v>
      </c>
      <c r="D33" s="238">
        <v>600</v>
      </c>
      <c r="E33" s="48">
        <v>0.35</v>
      </c>
      <c r="F33" s="48">
        <v>8</v>
      </c>
      <c r="G33" s="49">
        <f t="shared" si="5"/>
        <v>3.6399999999999997</v>
      </c>
      <c r="H33" s="48">
        <v>5.48</v>
      </c>
      <c r="I33" s="50">
        <v>0.05</v>
      </c>
      <c r="J33" s="51">
        <f t="shared" si="0"/>
        <v>9.1700000000000017</v>
      </c>
      <c r="K33" s="52">
        <f t="shared" si="1"/>
        <v>210</v>
      </c>
      <c r="L33" s="50">
        <f t="shared" si="2"/>
        <v>2184</v>
      </c>
      <c r="M33" s="50">
        <f t="shared" si="6"/>
        <v>4274.4000000000005</v>
      </c>
      <c r="N33" s="50">
        <f t="shared" si="3"/>
        <v>30</v>
      </c>
      <c r="O33" s="28">
        <f t="shared" si="4"/>
        <v>6488.4000000000005</v>
      </c>
      <c r="P33" s="193"/>
      <c r="Q33" s="214"/>
      <c r="R33" s="214"/>
      <c r="S33" s="214"/>
      <c r="T33" s="214"/>
      <c r="U33" s="214"/>
      <c r="V33" s="214"/>
    </row>
    <row r="34" spans="1:22">
      <c r="A34" s="133" t="s">
        <v>204</v>
      </c>
      <c r="B34" s="139" t="s">
        <v>205</v>
      </c>
      <c r="C34" s="141" t="s">
        <v>84</v>
      </c>
      <c r="D34" s="238">
        <v>200</v>
      </c>
      <c r="E34" s="48">
        <v>0.35</v>
      </c>
      <c r="F34" s="48">
        <v>8</v>
      </c>
      <c r="G34" s="49">
        <f t="shared" si="5"/>
        <v>3.6399999999999997</v>
      </c>
      <c r="H34" s="48">
        <v>0.88</v>
      </c>
      <c r="I34" s="50">
        <v>0.05</v>
      </c>
      <c r="J34" s="51">
        <f t="shared" si="0"/>
        <v>4.5699999999999994</v>
      </c>
      <c r="K34" s="52">
        <f t="shared" si="1"/>
        <v>70</v>
      </c>
      <c r="L34" s="50">
        <f t="shared" si="2"/>
        <v>728</v>
      </c>
      <c r="M34" s="50">
        <f t="shared" si="6"/>
        <v>228.8</v>
      </c>
      <c r="N34" s="50">
        <f t="shared" si="3"/>
        <v>10</v>
      </c>
      <c r="O34" s="28">
        <f t="shared" si="4"/>
        <v>966.8</v>
      </c>
      <c r="P34" s="193"/>
      <c r="Q34" s="214"/>
      <c r="R34" s="214"/>
      <c r="S34" s="214"/>
      <c r="T34" s="214"/>
      <c r="U34" s="214"/>
      <c r="V34" s="214"/>
    </row>
    <row r="35" spans="1:22">
      <c r="A35" s="133" t="s">
        <v>206</v>
      </c>
      <c r="B35" s="139" t="s">
        <v>207</v>
      </c>
      <c r="C35" s="141" t="s">
        <v>81</v>
      </c>
      <c r="D35" s="238">
        <v>169</v>
      </c>
      <c r="E35" s="48">
        <v>1.5</v>
      </c>
      <c r="F35" s="48">
        <v>8</v>
      </c>
      <c r="G35" s="49">
        <f t="shared" si="5"/>
        <v>15.600000000000001</v>
      </c>
      <c r="H35" s="48">
        <v>34.799999999999997</v>
      </c>
      <c r="I35" s="50">
        <v>0.2</v>
      </c>
      <c r="J35" s="51">
        <f t="shared" si="0"/>
        <v>50.6</v>
      </c>
      <c r="K35" s="52">
        <f t="shared" si="1"/>
        <v>253.5</v>
      </c>
      <c r="L35" s="50">
        <f t="shared" si="2"/>
        <v>2636.4</v>
      </c>
      <c r="M35" s="50">
        <f t="shared" si="6"/>
        <v>7645.56</v>
      </c>
      <c r="N35" s="50">
        <f t="shared" si="3"/>
        <v>33.799999999999997</v>
      </c>
      <c r="O35" s="28">
        <f t="shared" si="4"/>
        <v>10315.76</v>
      </c>
      <c r="P35" s="193"/>
      <c r="Q35" s="214"/>
      <c r="R35" s="214"/>
      <c r="S35" s="214"/>
      <c r="T35" s="214"/>
      <c r="U35" s="214"/>
      <c r="V35" s="214"/>
    </row>
    <row r="36" spans="1:22">
      <c r="A36" s="133" t="s">
        <v>208</v>
      </c>
      <c r="B36" s="139" t="s">
        <v>209</v>
      </c>
      <c r="C36" s="141" t="s">
        <v>81</v>
      </c>
      <c r="D36" s="238">
        <v>237</v>
      </c>
      <c r="E36" s="48">
        <v>1.5</v>
      </c>
      <c r="F36" s="48">
        <v>8</v>
      </c>
      <c r="G36" s="49">
        <f t="shared" si="5"/>
        <v>15.600000000000001</v>
      </c>
      <c r="H36" s="48">
        <v>30.66</v>
      </c>
      <c r="I36" s="50">
        <v>0.2</v>
      </c>
      <c r="J36" s="51">
        <f t="shared" si="0"/>
        <v>46.460000000000008</v>
      </c>
      <c r="K36" s="52">
        <f t="shared" si="1"/>
        <v>355.5</v>
      </c>
      <c r="L36" s="50">
        <f t="shared" si="2"/>
        <v>3697.2</v>
      </c>
      <c r="M36" s="50">
        <f t="shared" si="6"/>
        <v>9446.3459999999995</v>
      </c>
      <c r="N36" s="50">
        <f t="shared" si="3"/>
        <v>47.4</v>
      </c>
      <c r="O36" s="28">
        <f t="shared" si="4"/>
        <v>13190.945999999998</v>
      </c>
      <c r="P36" s="193"/>
      <c r="Q36" s="214"/>
      <c r="R36" s="214"/>
      <c r="S36" s="214"/>
      <c r="T36" s="214"/>
      <c r="U36" s="214"/>
      <c r="V36" s="214"/>
    </row>
    <row r="37" spans="1:22">
      <c r="A37" s="133" t="s">
        <v>210</v>
      </c>
      <c r="B37" s="139" t="s">
        <v>211</v>
      </c>
      <c r="C37" s="141" t="s">
        <v>81</v>
      </c>
      <c r="D37" s="238">
        <v>9</v>
      </c>
      <c r="E37" s="48">
        <v>1.5</v>
      </c>
      <c r="F37" s="48">
        <v>8</v>
      </c>
      <c r="G37" s="49">
        <f t="shared" si="5"/>
        <v>15.600000000000001</v>
      </c>
      <c r="H37" s="48">
        <v>20.7</v>
      </c>
      <c r="I37" s="50">
        <v>0.2</v>
      </c>
      <c r="J37" s="51">
        <f t="shared" si="0"/>
        <v>36.5</v>
      </c>
      <c r="K37" s="52">
        <f t="shared" si="1"/>
        <v>13.5</v>
      </c>
      <c r="L37" s="50">
        <f t="shared" si="2"/>
        <v>140.4</v>
      </c>
      <c r="M37" s="50">
        <f t="shared" si="6"/>
        <v>242.19000000000003</v>
      </c>
      <c r="N37" s="50">
        <f t="shared" si="3"/>
        <v>1.8</v>
      </c>
      <c r="O37" s="28">
        <f t="shared" si="4"/>
        <v>384.39000000000004</v>
      </c>
      <c r="P37" s="193"/>
      <c r="Q37" s="214"/>
      <c r="R37" s="214"/>
      <c r="S37" s="214"/>
      <c r="T37" s="214"/>
      <c r="U37" s="214"/>
      <c r="V37" s="214"/>
    </row>
    <row r="38" spans="1:22" ht="31.5">
      <c r="A38" s="133" t="s">
        <v>212</v>
      </c>
      <c r="B38" s="139" t="s">
        <v>213</v>
      </c>
      <c r="C38" s="141" t="s">
        <v>81</v>
      </c>
      <c r="D38" s="238">
        <v>131</v>
      </c>
      <c r="E38" s="48">
        <v>1.5</v>
      </c>
      <c r="F38" s="48">
        <v>8</v>
      </c>
      <c r="G38" s="49">
        <f t="shared" si="5"/>
        <v>15.600000000000001</v>
      </c>
      <c r="H38" s="48">
        <v>49.23</v>
      </c>
      <c r="I38" s="50">
        <v>0.2</v>
      </c>
      <c r="J38" s="51">
        <f t="shared" si="0"/>
        <v>65.03</v>
      </c>
      <c r="K38" s="52">
        <f t="shared" si="1"/>
        <v>196.5</v>
      </c>
      <c r="L38" s="50">
        <f t="shared" si="2"/>
        <v>2043.6</v>
      </c>
      <c r="M38" s="50">
        <f t="shared" si="6"/>
        <v>8383.8690000000006</v>
      </c>
      <c r="N38" s="50">
        <f t="shared" si="3"/>
        <v>26.2</v>
      </c>
      <c r="O38" s="28">
        <f t="shared" si="4"/>
        <v>10453.669000000002</v>
      </c>
      <c r="P38" s="193"/>
      <c r="Q38" s="214"/>
      <c r="R38" s="214"/>
      <c r="S38" s="214"/>
      <c r="T38" s="214"/>
      <c r="U38" s="214"/>
      <c r="V38" s="214"/>
    </row>
    <row r="39" spans="1:22">
      <c r="A39" s="133" t="s">
        <v>214</v>
      </c>
      <c r="B39" s="134" t="s">
        <v>215</v>
      </c>
      <c r="C39" s="141" t="s">
        <v>81</v>
      </c>
      <c r="D39" s="238">
        <v>120</v>
      </c>
      <c r="E39" s="48">
        <v>1.5</v>
      </c>
      <c r="F39" s="48">
        <v>8</v>
      </c>
      <c r="G39" s="49">
        <f t="shared" si="5"/>
        <v>15.600000000000001</v>
      </c>
      <c r="H39" s="48">
        <v>33.08</v>
      </c>
      <c r="I39" s="50">
        <v>0.2</v>
      </c>
      <c r="J39" s="51">
        <f t="shared" si="0"/>
        <v>48.88</v>
      </c>
      <c r="K39" s="52">
        <f t="shared" si="1"/>
        <v>180</v>
      </c>
      <c r="L39" s="50">
        <f t="shared" si="2"/>
        <v>1872</v>
      </c>
      <c r="M39" s="50">
        <f t="shared" si="6"/>
        <v>5160.4800000000005</v>
      </c>
      <c r="N39" s="50">
        <f t="shared" si="3"/>
        <v>24</v>
      </c>
      <c r="O39" s="28">
        <f t="shared" si="4"/>
        <v>7056.4800000000005</v>
      </c>
      <c r="P39" s="193"/>
      <c r="Q39" s="214"/>
      <c r="R39" s="214"/>
      <c r="S39" s="214"/>
      <c r="T39" s="214"/>
      <c r="U39" s="214"/>
      <c r="V39" s="214"/>
    </row>
    <row r="40" spans="1:22" ht="31.5">
      <c r="A40" s="133" t="s">
        <v>216</v>
      </c>
      <c r="B40" s="134" t="s">
        <v>217</v>
      </c>
      <c r="C40" s="141" t="s">
        <v>81</v>
      </c>
      <c r="D40" s="238">
        <v>30</v>
      </c>
      <c r="E40" s="48">
        <v>1.5</v>
      </c>
      <c r="F40" s="48">
        <v>8</v>
      </c>
      <c r="G40" s="49">
        <f t="shared" si="5"/>
        <v>15.600000000000001</v>
      </c>
      <c r="H40" s="48">
        <v>20.65</v>
      </c>
      <c r="I40" s="50">
        <v>0.2</v>
      </c>
      <c r="J40" s="51">
        <f t="shared" si="0"/>
        <v>36.450000000000003</v>
      </c>
      <c r="K40" s="52">
        <f t="shared" si="1"/>
        <v>45</v>
      </c>
      <c r="L40" s="50">
        <f t="shared" si="2"/>
        <v>468</v>
      </c>
      <c r="M40" s="50">
        <f t="shared" si="6"/>
        <v>805.35</v>
      </c>
      <c r="N40" s="50">
        <f t="shared" si="3"/>
        <v>6</v>
      </c>
      <c r="O40" s="28">
        <f t="shared" si="4"/>
        <v>1279.3499999999999</v>
      </c>
      <c r="P40" s="193"/>
      <c r="Q40" s="214"/>
      <c r="R40" s="214"/>
      <c r="S40" s="214"/>
      <c r="T40" s="214"/>
      <c r="U40" s="214"/>
      <c r="V40" s="214"/>
    </row>
    <row r="41" spans="1:22">
      <c r="A41" s="133" t="s">
        <v>218</v>
      </c>
      <c r="B41" s="137" t="s">
        <v>219</v>
      </c>
      <c r="C41" s="141" t="s">
        <v>81</v>
      </c>
      <c r="D41" s="238">
        <v>28</v>
      </c>
      <c r="E41" s="48">
        <v>1.5</v>
      </c>
      <c r="F41" s="48">
        <v>8</v>
      </c>
      <c r="G41" s="49">
        <f t="shared" si="5"/>
        <v>15.600000000000001</v>
      </c>
      <c r="H41" s="48">
        <v>23.42</v>
      </c>
      <c r="I41" s="50">
        <v>0.2</v>
      </c>
      <c r="J41" s="51">
        <f t="shared" si="0"/>
        <v>39.220000000000006</v>
      </c>
      <c r="K41" s="52">
        <f t="shared" si="1"/>
        <v>42</v>
      </c>
      <c r="L41" s="50">
        <f t="shared" si="2"/>
        <v>436.8</v>
      </c>
      <c r="M41" s="50">
        <f t="shared" si="6"/>
        <v>852.48800000000006</v>
      </c>
      <c r="N41" s="50">
        <f t="shared" si="3"/>
        <v>5.6</v>
      </c>
      <c r="O41" s="28">
        <f t="shared" si="4"/>
        <v>1294.8879999999999</v>
      </c>
      <c r="P41" s="193"/>
      <c r="Q41" s="214"/>
      <c r="R41" s="214"/>
      <c r="S41" s="214"/>
      <c r="T41" s="214"/>
      <c r="U41" s="214"/>
      <c r="V41" s="214"/>
    </row>
    <row r="42" spans="1:22">
      <c r="A42" s="133" t="s">
        <v>220</v>
      </c>
      <c r="B42" s="139" t="s">
        <v>221</v>
      </c>
      <c r="C42" s="141" t="s">
        <v>81</v>
      </c>
      <c r="D42" s="238">
        <v>31</v>
      </c>
      <c r="E42" s="48">
        <v>1.5</v>
      </c>
      <c r="F42" s="48">
        <v>8</v>
      </c>
      <c r="G42" s="49">
        <f t="shared" si="5"/>
        <v>15.600000000000001</v>
      </c>
      <c r="H42" s="48">
        <v>61.77</v>
      </c>
      <c r="I42" s="50">
        <v>0.2</v>
      </c>
      <c r="J42" s="51">
        <f t="shared" si="0"/>
        <v>77.570000000000007</v>
      </c>
      <c r="K42" s="52">
        <f t="shared" si="1"/>
        <v>46.5</v>
      </c>
      <c r="L42" s="50">
        <f t="shared" si="2"/>
        <v>483.6</v>
      </c>
      <c r="M42" s="50">
        <f t="shared" si="6"/>
        <v>2489.3310000000001</v>
      </c>
      <c r="N42" s="50">
        <f t="shared" si="3"/>
        <v>6.2</v>
      </c>
      <c r="O42" s="28">
        <f t="shared" si="4"/>
        <v>2979.1309999999999</v>
      </c>
      <c r="P42" s="193"/>
      <c r="Q42" s="214"/>
      <c r="R42" s="214"/>
      <c r="S42" s="214"/>
      <c r="T42" s="214"/>
      <c r="U42" s="214"/>
      <c r="V42" s="214"/>
    </row>
    <row r="43" spans="1:22">
      <c r="A43" s="133" t="s">
        <v>222</v>
      </c>
      <c r="B43" s="139" t="s">
        <v>223</v>
      </c>
      <c r="C43" s="141" t="s">
        <v>81</v>
      </c>
      <c r="D43" s="238">
        <v>60</v>
      </c>
      <c r="E43" s="48">
        <v>1.5</v>
      </c>
      <c r="F43" s="48">
        <v>8</v>
      </c>
      <c r="G43" s="49">
        <f t="shared" si="5"/>
        <v>15.600000000000001</v>
      </c>
      <c r="H43" s="48">
        <v>31.8</v>
      </c>
      <c r="I43" s="50">
        <v>0.2</v>
      </c>
      <c r="J43" s="51">
        <f t="shared" si="0"/>
        <v>47.600000000000009</v>
      </c>
      <c r="K43" s="52">
        <f t="shared" si="1"/>
        <v>90</v>
      </c>
      <c r="L43" s="50">
        <f t="shared" si="2"/>
        <v>936</v>
      </c>
      <c r="M43" s="50">
        <f t="shared" si="6"/>
        <v>2480.4</v>
      </c>
      <c r="N43" s="50">
        <f t="shared" si="3"/>
        <v>12</v>
      </c>
      <c r="O43" s="28">
        <f t="shared" si="4"/>
        <v>3428.4</v>
      </c>
      <c r="P43" s="193"/>
      <c r="Q43" s="214"/>
      <c r="R43" s="214"/>
      <c r="S43" s="214"/>
      <c r="T43" s="214"/>
      <c r="U43" s="214"/>
      <c r="V43" s="214"/>
    </row>
    <row r="44" spans="1:22">
      <c r="A44" s="133" t="s">
        <v>224</v>
      </c>
      <c r="B44" s="139" t="s">
        <v>225</v>
      </c>
      <c r="C44" s="141" t="s">
        <v>81</v>
      </c>
      <c r="D44" s="238">
        <v>146</v>
      </c>
      <c r="E44" s="48">
        <v>1.5</v>
      </c>
      <c r="F44" s="48">
        <v>8</v>
      </c>
      <c r="G44" s="49">
        <f t="shared" si="5"/>
        <v>15.600000000000001</v>
      </c>
      <c r="H44" s="48">
        <v>24.16</v>
      </c>
      <c r="I44" s="50">
        <v>0.2</v>
      </c>
      <c r="J44" s="51">
        <f t="shared" si="0"/>
        <v>39.960000000000008</v>
      </c>
      <c r="K44" s="52">
        <f t="shared" si="1"/>
        <v>219</v>
      </c>
      <c r="L44" s="50">
        <f t="shared" si="2"/>
        <v>2277.6</v>
      </c>
      <c r="M44" s="50">
        <f t="shared" si="6"/>
        <v>4585.5680000000002</v>
      </c>
      <c r="N44" s="50">
        <f t="shared" si="3"/>
        <v>29.2</v>
      </c>
      <c r="O44" s="28">
        <f t="shared" si="4"/>
        <v>6892.3679999999995</v>
      </c>
      <c r="P44" s="193"/>
      <c r="Q44" s="214"/>
      <c r="R44" s="214"/>
      <c r="S44" s="214"/>
      <c r="T44" s="214"/>
      <c r="U44" s="214"/>
      <c r="V44" s="214"/>
    </row>
    <row r="45" spans="1:22">
      <c r="A45" s="133" t="s">
        <v>226</v>
      </c>
      <c r="B45" s="134" t="s">
        <v>227</v>
      </c>
      <c r="C45" s="141" t="s">
        <v>81</v>
      </c>
      <c r="D45" s="238">
        <v>96</v>
      </c>
      <c r="E45" s="48">
        <v>1.5</v>
      </c>
      <c r="F45" s="48">
        <v>8</v>
      </c>
      <c r="G45" s="49">
        <f t="shared" si="5"/>
        <v>15.600000000000001</v>
      </c>
      <c r="H45" s="48">
        <v>39.29</v>
      </c>
      <c r="I45" s="50">
        <v>0.2</v>
      </c>
      <c r="J45" s="51">
        <f t="shared" si="0"/>
        <v>55.09</v>
      </c>
      <c r="K45" s="52">
        <f t="shared" si="1"/>
        <v>144</v>
      </c>
      <c r="L45" s="50">
        <f t="shared" si="2"/>
        <v>1497.6</v>
      </c>
      <c r="M45" s="50">
        <f t="shared" si="6"/>
        <v>4903.3920000000007</v>
      </c>
      <c r="N45" s="50">
        <f t="shared" si="3"/>
        <v>19.2</v>
      </c>
      <c r="O45" s="28">
        <f t="shared" si="4"/>
        <v>6420.192</v>
      </c>
      <c r="P45" s="193"/>
      <c r="Q45" s="214"/>
      <c r="R45" s="214"/>
      <c r="S45" s="214"/>
      <c r="T45" s="214"/>
      <c r="U45" s="214"/>
      <c r="V45" s="214"/>
    </row>
    <row r="46" spans="1:22">
      <c r="A46" s="133" t="s">
        <v>228</v>
      </c>
      <c r="B46" s="139" t="s">
        <v>229</v>
      </c>
      <c r="C46" s="141" t="s">
        <v>81</v>
      </c>
      <c r="D46" s="238">
        <v>6</v>
      </c>
      <c r="E46" s="48">
        <v>1.5</v>
      </c>
      <c r="F46" s="48">
        <v>8</v>
      </c>
      <c r="G46" s="49">
        <f t="shared" si="5"/>
        <v>15.600000000000001</v>
      </c>
      <c r="H46" s="48">
        <v>8.3360000000000003</v>
      </c>
      <c r="I46" s="50">
        <v>0.2</v>
      </c>
      <c r="J46" s="51">
        <f t="shared" si="0"/>
        <v>24.135999999999999</v>
      </c>
      <c r="K46" s="52">
        <f t="shared" si="1"/>
        <v>9</v>
      </c>
      <c r="L46" s="50">
        <f t="shared" si="2"/>
        <v>93.6</v>
      </c>
      <c r="M46" s="50">
        <f t="shared" si="6"/>
        <v>65.02600000000001</v>
      </c>
      <c r="N46" s="50">
        <f t="shared" si="3"/>
        <v>1.2</v>
      </c>
      <c r="O46" s="28">
        <f t="shared" si="4"/>
        <v>159.82599999999999</v>
      </c>
      <c r="P46" s="193"/>
      <c r="Q46" s="214"/>
      <c r="R46" s="214"/>
      <c r="S46" s="214"/>
      <c r="T46" s="214"/>
      <c r="U46" s="214"/>
      <c r="V46" s="214"/>
    </row>
    <row r="47" spans="1:22">
      <c r="A47" s="133" t="s">
        <v>230</v>
      </c>
      <c r="B47" s="134" t="s">
        <v>231</v>
      </c>
      <c r="C47" s="141" t="s">
        <v>81</v>
      </c>
      <c r="D47" s="238">
        <v>47</v>
      </c>
      <c r="E47" s="48">
        <v>1.5</v>
      </c>
      <c r="F47" s="48">
        <v>8</v>
      </c>
      <c r="G47" s="49">
        <f t="shared" si="5"/>
        <v>15.600000000000001</v>
      </c>
      <c r="H47" s="48">
        <v>8.33</v>
      </c>
      <c r="I47" s="50">
        <v>0.2</v>
      </c>
      <c r="J47" s="51">
        <f t="shared" si="0"/>
        <v>24.13</v>
      </c>
      <c r="K47" s="52">
        <f t="shared" si="1"/>
        <v>70.5</v>
      </c>
      <c r="L47" s="50">
        <f t="shared" si="2"/>
        <v>733.2</v>
      </c>
      <c r="M47" s="50">
        <f t="shared" si="6"/>
        <v>508.96300000000002</v>
      </c>
      <c r="N47" s="50">
        <f t="shared" si="3"/>
        <v>9.4</v>
      </c>
      <c r="O47" s="28">
        <f t="shared" si="4"/>
        <v>1251.5630000000001</v>
      </c>
      <c r="P47" s="193"/>
      <c r="Q47" s="214"/>
      <c r="R47" s="214"/>
      <c r="S47" s="214"/>
      <c r="T47" s="214"/>
      <c r="U47" s="214"/>
      <c r="V47" s="214"/>
    </row>
    <row r="48" spans="1:22">
      <c r="A48" s="133" t="s">
        <v>232</v>
      </c>
      <c r="B48" s="134" t="s">
        <v>233</v>
      </c>
      <c r="C48" s="135" t="s">
        <v>81</v>
      </c>
      <c r="D48" s="238">
        <v>14</v>
      </c>
      <c r="E48" s="48">
        <v>2.4500000000000002</v>
      </c>
      <c r="F48" s="48">
        <v>8</v>
      </c>
      <c r="G48" s="49">
        <f t="shared" si="5"/>
        <v>25.480000000000004</v>
      </c>
      <c r="H48" s="48">
        <v>26.25</v>
      </c>
      <c r="I48" s="50">
        <v>0.15</v>
      </c>
      <c r="J48" s="51">
        <f t="shared" si="0"/>
        <v>51.88</v>
      </c>
      <c r="K48" s="52">
        <f t="shared" si="1"/>
        <v>34.299999999999997</v>
      </c>
      <c r="L48" s="50">
        <f t="shared" si="2"/>
        <v>356.72</v>
      </c>
      <c r="M48" s="50">
        <f t="shared" si="6"/>
        <v>477.75</v>
      </c>
      <c r="N48" s="50">
        <f t="shared" si="3"/>
        <v>2.1</v>
      </c>
      <c r="O48" s="28">
        <f t="shared" si="4"/>
        <v>836.57</v>
      </c>
      <c r="P48" s="193"/>
      <c r="Q48" s="214"/>
      <c r="R48" s="214"/>
      <c r="S48" s="214"/>
      <c r="T48" s="214"/>
      <c r="U48" s="214"/>
      <c r="V48" s="214"/>
    </row>
    <row r="49" spans="1:22">
      <c r="A49" s="133" t="s">
        <v>234</v>
      </c>
      <c r="B49" s="137" t="s">
        <v>235</v>
      </c>
      <c r="C49" s="135" t="s">
        <v>84</v>
      </c>
      <c r="D49" s="238">
        <v>14</v>
      </c>
      <c r="E49" s="48">
        <v>0.2</v>
      </c>
      <c r="F49" s="48">
        <v>8</v>
      </c>
      <c r="G49" s="49">
        <f t="shared" si="5"/>
        <v>2.08</v>
      </c>
      <c r="H49" s="48">
        <v>2.38</v>
      </c>
      <c r="I49" s="50">
        <v>0.15</v>
      </c>
      <c r="J49" s="51">
        <f t="shared" si="0"/>
        <v>4.6100000000000003</v>
      </c>
      <c r="K49" s="52">
        <f t="shared" si="1"/>
        <v>2.8</v>
      </c>
      <c r="L49" s="50">
        <f t="shared" si="2"/>
        <v>29.12</v>
      </c>
      <c r="M49" s="50">
        <f t="shared" si="6"/>
        <v>43.316000000000003</v>
      </c>
      <c r="N49" s="50">
        <f t="shared" si="3"/>
        <v>2.1</v>
      </c>
      <c r="O49" s="28">
        <f t="shared" si="4"/>
        <v>74.536000000000001</v>
      </c>
      <c r="P49" s="193"/>
      <c r="Q49" s="214"/>
      <c r="R49" s="214"/>
      <c r="S49" s="214"/>
      <c r="T49" s="214"/>
      <c r="U49" s="214"/>
      <c r="V49" s="214"/>
    </row>
    <row r="50" spans="1:22">
      <c r="A50" s="133" t="s">
        <v>236</v>
      </c>
      <c r="B50" s="139" t="s">
        <v>237</v>
      </c>
      <c r="C50" s="135" t="s">
        <v>105</v>
      </c>
      <c r="D50" s="238">
        <v>1</v>
      </c>
      <c r="E50" s="48">
        <v>6.5</v>
      </c>
      <c r="F50" s="48">
        <v>8</v>
      </c>
      <c r="G50" s="49">
        <f t="shared" si="5"/>
        <v>67.600000000000009</v>
      </c>
      <c r="H50" s="48">
        <v>1400</v>
      </c>
      <c r="I50" s="50">
        <v>0.15</v>
      </c>
      <c r="J50" s="51">
        <f t="shared" si="0"/>
        <v>1467.75</v>
      </c>
      <c r="K50" s="52">
        <f t="shared" si="1"/>
        <v>6.5</v>
      </c>
      <c r="L50" s="50">
        <f t="shared" si="2"/>
        <v>67.599999999999994</v>
      </c>
      <c r="M50" s="50">
        <f t="shared" si="6"/>
        <v>1820</v>
      </c>
      <c r="N50" s="50">
        <f t="shared" si="3"/>
        <v>0.15</v>
      </c>
      <c r="O50" s="28">
        <f t="shared" si="4"/>
        <v>1887.75</v>
      </c>
      <c r="P50" s="193"/>
      <c r="Q50" s="214"/>
      <c r="R50" s="214"/>
      <c r="S50" s="214"/>
      <c r="T50" s="214"/>
      <c r="U50" s="214"/>
      <c r="V50" s="214"/>
    </row>
    <row r="51" spans="1:22">
      <c r="A51" s="133" t="s">
        <v>238</v>
      </c>
      <c r="B51" s="139" t="s">
        <v>239</v>
      </c>
      <c r="C51" s="135" t="s">
        <v>105</v>
      </c>
      <c r="D51" s="238">
        <v>1</v>
      </c>
      <c r="E51" s="48">
        <v>6.5</v>
      </c>
      <c r="F51" s="48">
        <v>8</v>
      </c>
      <c r="G51" s="49">
        <f t="shared" si="5"/>
        <v>67.600000000000009</v>
      </c>
      <c r="H51" s="48">
        <v>2100</v>
      </c>
      <c r="I51" s="50">
        <v>15</v>
      </c>
      <c r="J51" s="51">
        <f t="shared" si="0"/>
        <v>2182.6</v>
      </c>
      <c r="K51" s="52">
        <f t="shared" si="1"/>
        <v>6.5</v>
      </c>
      <c r="L51" s="50">
        <f t="shared" si="2"/>
        <v>67.599999999999994</v>
      </c>
      <c r="M51" s="50">
        <f t="shared" si="6"/>
        <v>2730</v>
      </c>
      <c r="N51" s="50">
        <f t="shared" si="3"/>
        <v>15</v>
      </c>
      <c r="O51" s="28">
        <f t="shared" si="4"/>
        <v>2812.6</v>
      </c>
      <c r="P51" s="193"/>
      <c r="Q51" s="214"/>
      <c r="R51" s="214"/>
      <c r="S51" s="214"/>
      <c r="T51" s="214"/>
      <c r="U51" s="214"/>
      <c r="V51" s="214"/>
    </row>
    <row r="52" spans="1:22">
      <c r="A52" s="133" t="s">
        <v>240</v>
      </c>
      <c r="B52" s="139" t="s">
        <v>241</v>
      </c>
      <c r="C52" s="135" t="s">
        <v>105</v>
      </c>
      <c r="D52" s="238">
        <v>1</v>
      </c>
      <c r="E52" s="48">
        <v>6.5</v>
      </c>
      <c r="F52" s="48">
        <v>8</v>
      </c>
      <c r="G52" s="49">
        <f t="shared" si="5"/>
        <v>67.600000000000009</v>
      </c>
      <c r="H52" s="48">
        <v>206</v>
      </c>
      <c r="I52" s="50">
        <v>15</v>
      </c>
      <c r="J52" s="51">
        <f t="shared" si="0"/>
        <v>288.60000000000002</v>
      </c>
      <c r="K52" s="52">
        <f t="shared" si="1"/>
        <v>6.5</v>
      </c>
      <c r="L52" s="50">
        <f t="shared" si="2"/>
        <v>67.599999999999994</v>
      </c>
      <c r="M52" s="50">
        <f t="shared" si="6"/>
        <v>267.8</v>
      </c>
      <c r="N52" s="50">
        <f t="shared" si="3"/>
        <v>15</v>
      </c>
      <c r="O52" s="28">
        <f t="shared" si="4"/>
        <v>350.4</v>
      </c>
      <c r="P52" s="193"/>
      <c r="Q52" s="214"/>
      <c r="R52" s="214"/>
      <c r="S52" s="214"/>
      <c r="T52" s="214"/>
      <c r="U52" s="214"/>
      <c r="V52" s="214"/>
    </row>
    <row r="53" spans="1:22">
      <c r="A53" s="133" t="s">
        <v>242</v>
      </c>
      <c r="B53" s="139" t="s">
        <v>243</v>
      </c>
      <c r="C53" s="135" t="s">
        <v>105</v>
      </c>
      <c r="D53" s="238">
        <v>1</v>
      </c>
      <c r="E53" s="48">
        <v>6.5</v>
      </c>
      <c r="F53" s="48">
        <v>8</v>
      </c>
      <c r="G53" s="49">
        <f t="shared" si="5"/>
        <v>67.600000000000009</v>
      </c>
      <c r="H53" s="48">
        <v>725</v>
      </c>
      <c r="I53" s="50">
        <v>15</v>
      </c>
      <c r="J53" s="51">
        <f t="shared" si="0"/>
        <v>807.6</v>
      </c>
      <c r="K53" s="52">
        <f t="shared" si="1"/>
        <v>6.5</v>
      </c>
      <c r="L53" s="50">
        <f t="shared" si="2"/>
        <v>67.599999999999994</v>
      </c>
      <c r="M53" s="50">
        <f t="shared" si="6"/>
        <v>942.5</v>
      </c>
      <c r="N53" s="50">
        <f t="shared" si="3"/>
        <v>15</v>
      </c>
      <c r="O53" s="28">
        <f t="shared" si="4"/>
        <v>1025.0999999999999</v>
      </c>
      <c r="P53" s="193"/>
      <c r="Q53" s="214"/>
      <c r="R53" s="214"/>
      <c r="S53" s="214"/>
      <c r="T53" s="214"/>
      <c r="U53" s="214"/>
      <c r="V53" s="214"/>
    </row>
    <row r="54" spans="1:22">
      <c r="A54" s="133" t="s">
        <v>244</v>
      </c>
      <c r="B54" s="139" t="s">
        <v>245</v>
      </c>
      <c r="C54" s="135" t="s">
        <v>105</v>
      </c>
      <c r="D54" s="238">
        <v>1</v>
      </c>
      <c r="E54" s="48">
        <v>6.5</v>
      </c>
      <c r="F54" s="48">
        <v>8</v>
      </c>
      <c r="G54" s="49">
        <f t="shared" si="5"/>
        <v>67.600000000000009</v>
      </c>
      <c r="H54" s="48">
        <v>537</v>
      </c>
      <c r="I54" s="50">
        <v>15</v>
      </c>
      <c r="J54" s="51">
        <f t="shared" si="0"/>
        <v>619.6</v>
      </c>
      <c r="K54" s="52">
        <f t="shared" si="1"/>
        <v>6.5</v>
      </c>
      <c r="L54" s="50">
        <f t="shared" si="2"/>
        <v>67.599999999999994</v>
      </c>
      <c r="M54" s="50">
        <f t="shared" si="6"/>
        <v>698.1</v>
      </c>
      <c r="N54" s="50">
        <f t="shared" si="3"/>
        <v>15</v>
      </c>
      <c r="O54" s="28">
        <f t="shared" si="4"/>
        <v>780.7</v>
      </c>
      <c r="P54" s="193"/>
      <c r="Q54" s="214"/>
      <c r="R54" s="214"/>
      <c r="S54" s="214"/>
      <c r="T54" s="214"/>
      <c r="U54" s="214"/>
      <c r="V54" s="214"/>
    </row>
    <row r="55" spans="1:22">
      <c r="A55" s="133" t="s">
        <v>246</v>
      </c>
      <c r="B55" s="134" t="s">
        <v>247</v>
      </c>
      <c r="C55" s="135" t="s">
        <v>105</v>
      </c>
      <c r="D55" s="238">
        <v>1</v>
      </c>
      <c r="E55" s="48">
        <v>6.5</v>
      </c>
      <c r="F55" s="48">
        <v>8</v>
      </c>
      <c r="G55" s="49">
        <f t="shared" si="5"/>
        <v>67.600000000000009</v>
      </c>
      <c r="H55" s="48">
        <v>150</v>
      </c>
      <c r="I55" s="50">
        <v>15</v>
      </c>
      <c r="J55" s="51">
        <f t="shared" si="0"/>
        <v>232.60000000000002</v>
      </c>
      <c r="K55" s="52">
        <f t="shared" si="1"/>
        <v>6.5</v>
      </c>
      <c r="L55" s="50">
        <f t="shared" si="2"/>
        <v>67.599999999999994</v>
      </c>
      <c r="M55" s="50">
        <f t="shared" si="6"/>
        <v>195</v>
      </c>
      <c r="N55" s="50">
        <f t="shared" si="3"/>
        <v>15</v>
      </c>
      <c r="O55" s="28">
        <f t="shared" si="4"/>
        <v>277.60000000000002</v>
      </c>
      <c r="P55" s="193"/>
      <c r="Q55" s="214"/>
      <c r="R55" s="214"/>
      <c r="S55" s="214"/>
      <c r="T55" s="214"/>
      <c r="U55" s="214"/>
      <c r="V55" s="214"/>
    </row>
    <row r="56" spans="1:22">
      <c r="A56" s="133" t="s">
        <v>248</v>
      </c>
      <c r="B56" s="134" t="s">
        <v>249</v>
      </c>
      <c r="C56" s="135" t="s">
        <v>105</v>
      </c>
      <c r="D56" s="238">
        <v>1</v>
      </c>
      <c r="E56" s="48">
        <v>6.5</v>
      </c>
      <c r="F56" s="48">
        <v>8</v>
      </c>
      <c r="G56" s="49">
        <f t="shared" si="5"/>
        <v>67.600000000000009</v>
      </c>
      <c r="H56" s="48">
        <v>206</v>
      </c>
      <c r="I56" s="50">
        <v>15</v>
      </c>
      <c r="J56" s="51">
        <f t="shared" si="0"/>
        <v>288.60000000000002</v>
      </c>
      <c r="K56" s="52">
        <f t="shared" si="1"/>
        <v>6.5</v>
      </c>
      <c r="L56" s="50">
        <f t="shared" si="2"/>
        <v>67.599999999999994</v>
      </c>
      <c r="M56" s="50">
        <f t="shared" si="6"/>
        <v>267.8</v>
      </c>
      <c r="N56" s="50">
        <f t="shared" si="3"/>
        <v>15</v>
      </c>
      <c r="O56" s="28">
        <f t="shared" si="4"/>
        <v>350.4</v>
      </c>
      <c r="P56" s="193"/>
      <c r="Q56" s="214"/>
      <c r="R56" s="214"/>
      <c r="S56" s="214"/>
      <c r="T56" s="214"/>
      <c r="U56" s="214"/>
      <c r="V56" s="214"/>
    </row>
    <row r="57" spans="1:22">
      <c r="A57" s="133" t="s">
        <v>250</v>
      </c>
      <c r="B57" s="137" t="s">
        <v>251</v>
      </c>
      <c r="C57" s="135" t="s">
        <v>105</v>
      </c>
      <c r="D57" s="238">
        <v>1</v>
      </c>
      <c r="E57" s="48">
        <v>6.5</v>
      </c>
      <c r="F57" s="48">
        <v>8</v>
      </c>
      <c r="G57" s="49">
        <f t="shared" si="5"/>
        <v>67.600000000000009</v>
      </c>
      <c r="H57" s="48">
        <v>231</v>
      </c>
      <c r="I57" s="50">
        <v>15</v>
      </c>
      <c r="J57" s="51">
        <f t="shared" si="0"/>
        <v>313.60000000000002</v>
      </c>
      <c r="K57" s="52">
        <f t="shared" si="1"/>
        <v>6.5</v>
      </c>
      <c r="L57" s="50">
        <f t="shared" si="2"/>
        <v>67.599999999999994</v>
      </c>
      <c r="M57" s="50">
        <f t="shared" si="6"/>
        <v>300.3</v>
      </c>
      <c r="N57" s="50">
        <f t="shared" si="3"/>
        <v>15</v>
      </c>
      <c r="O57" s="28">
        <f t="shared" si="4"/>
        <v>382.9</v>
      </c>
      <c r="P57" s="193"/>
      <c r="Q57" s="214"/>
      <c r="R57" s="214"/>
      <c r="S57" s="214"/>
      <c r="T57" s="214"/>
      <c r="U57" s="214"/>
      <c r="V57" s="214"/>
    </row>
    <row r="58" spans="1:22">
      <c r="A58" s="133" t="s">
        <v>252</v>
      </c>
      <c r="B58" s="139" t="s">
        <v>253</v>
      </c>
      <c r="C58" s="135" t="s">
        <v>105</v>
      </c>
      <c r="D58" s="238">
        <v>1</v>
      </c>
      <c r="E58" s="48">
        <v>6.5</v>
      </c>
      <c r="F58" s="48">
        <v>8</v>
      </c>
      <c r="G58" s="49">
        <f t="shared" si="5"/>
        <v>67.600000000000009</v>
      </c>
      <c r="H58" s="48">
        <v>131</v>
      </c>
      <c r="I58" s="50">
        <v>15</v>
      </c>
      <c r="J58" s="51">
        <f t="shared" si="0"/>
        <v>213.60000000000002</v>
      </c>
      <c r="K58" s="52">
        <f t="shared" si="1"/>
        <v>6.5</v>
      </c>
      <c r="L58" s="50">
        <f t="shared" si="2"/>
        <v>67.599999999999994</v>
      </c>
      <c r="M58" s="50">
        <f t="shared" si="6"/>
        <v>170.3</v>
      </c>
      <c r="N58" s="50">
        <f t="shared" si="3"/>
        <v>15</v>
      </c>
      <c r="O58" s="28">
        <f t="shared" si="4"/>
        <v>252.9</v>
      </c>
      <c r="P58" s="193"/>
      <c r="Q58" s="214"/>
      <c r="R58" s="214"/>
      <c r="S58" s="214"/>
      <c r="T58" s="214"/>
      <c r="U58" s="214"/>
      <c r="V58" s="214"/>
    </row>
    <row r="59" spans="1:22">
      <c r="A59" s="133" t="s">
        <v>254</v>
      </c>
      <c r="B59" s="134" t="s">
        <v>255</v>
      </c>
      <c r="C59" s="135" t="s">
        <v>105</v>
      </c>
      <c r="D59" s="238">
        <v>1</v>
      </c>
      <c r="E59" s="48">
        <v>6.5</v>
      </c>
      <c r="F59" s="48">
        <v>8</v>
      </c>
      <c r="G59" s="49">
        <f t="shared" si="5"/>
        <v>67.600000000000009</v>
      </c>
      <c r="H59" s="48">
        <v>137</v>
      </c>
      <c r="I59" s="50">
        <v>15</v>
      </c>
      <c r="J59" s="51">
        <f t="shared" si="0"/>
        <v>219.60000000000002</v>
      </c>
      <c r="K59" s="52">
        <f t="shared" si="1"/>
        <v>6.5</v>
      </c>
      <c r="L59" s="50">
        <f t="shared" si="2"/>
        <v>67.599999999999994</v>
      </c>
      <c r="M59" s="50">
        <f t="shared" si="6"/>
        <v>178.1</v>
      </c>
      <c r="N59" s="50">
        <f t="shared" si="3"/>
        <v>15</v>
      </c>
      <c r="O59" s="28">
        <f t="shared" si="4"/>
        <v>260.7</v>
      </c>
      <c r="P59" s="193"/>
      <c r="Q59" s="214"/>
      <c r="R59" s="214"/>
      <c r="S59" s="214"/>
      <c r="T59" s="214"/>
      <c r="U59" s="214"/>
      <c r="V59" s="214"/>
    </row>
    <row r="60" spans="1:22">
      <c r="A60" s="133" t="s">
        <v>256</v>
      </c>
      <c r="B60" s="134" t="s">
        <v>257</v>
      </c>
      <c r="C60" s="135" t="s">
        <v>105</v>
      </c>
      <c r="D60" s="238">
        <v>1</v>
      </c>
      <c r="E60" s="48">
        <v>6.5</v>
      </c>
      <c r="F60" s="48">
        <v>8</v>
      </c>
      <c r="G60" s="49">
        <f t="shared" si="5"/>
        <v>67.600000000000009</v>
      </c>
      <c r="H60" s="48">
        <v>193</v>
      </c>
      <c r="I60" s="50">
        <v>15</v>
      </c>
      <c r="J60" s="51">
        <f t="shared" si="0"/>
        <v>275.60000000000002</v>
      </c>
      <c r="K60" s="52">
        <f t="shared" si="1"/>
        <v>6.5</v>
      </c>
      <c r="L60" s="50">
        <f t="shared" si="2"/>
        <v>67.599999999999994</v>
      </c>
      <c r="M60" s="50">
        <f t="shared" si="6"/>
        <v>250.9</v>
      </c>
      <c r="N60" s="50">
        <f t="shared" si="3"/>
        <v>15</v>
      </c>
      <c r="O60" s="28">
        <f t="shared" si="4"/>
        <v>333.5</v>
      </c>
      <c r="P60" s="193"/>
      <c r="Q60" s="214"/>
      <c r="R60" s="214"/>
      <c r="S60" s="214"/>
      <c r="T60" s="214"/>
      <c r="U60" s="214"/>
      <c r="V60" s="214"/>
    </row>
    <row r="61" spans="1:22">
      <c r="A61" s="133" t="s">
        <v>258</v>
      </c>
      <c r="B61" s="137" t="s">
        <v>259</v>
      </c>
      <c r="C61" s="135" t="s">
        <v>105</v>
      </c>
      <c r="D61" s="238">
        <v>1</v>
      </c>
      <c r="E61" s="48">
        <v>6.5</v>
      </c>
      <c r="F61" s="48">
        <v>8</v>
      </c>
      <c r="G61" s="49">
        <f t="shared" si="5"/>
        <v>67.600000000000009</v>
      </c>
      <c r="H61" s="48">
        <v>218</v>
      </c>
      <c r="I61" s="50">
        <v>15</v>
      </c>
      <c r="J61" s="51">
        <f t="shared" si="0"/>
        <v>300.60000000000002</v>
      </c>
      <c r="K61" s="52">
        <f t="shared" si="1"/>
        <v>6.5</v>
      </c>
      <c r="L61" s="50">
        <f t="shared" si="2"/>
        <v>67.599999999999994</v>
      </c>
      <c r="M61" s="50">
        <f t="shared" si="6"/>
        <v>283.40000000000003</v>
      </c>
      <c r="N61" s="50">
        <f t="shared" si="3"/>
        <v>15</v>
      </c>
      <c r="O61" s="28">
        <f t="shared" si="4"/>
        <v>366</v>
      </c>
      <c r="P61" s="193"/>
      <c r="Q61" s="214"/>
      <c r="R61" s="214"/>
      <c r="S61" s="214"/>
      <c r="T61" s="214"/>
      <c r="U61" s="214"/>
      <c r="V61" s="214"/>
    </row>
    <row r="62" spans="1:22">
      <c r="A62" s="133" t="s">
        <v>260</v>
      </c>
      <c r="B62" s="139" t="s">
        <v>261</v>
      </c>
      <c r="C62" s="135" t="s">
        <v>105</v>
      </c>
      <c r="D62" s="238">
        <v>1</v>
      </c>
      <c r="E62" s="48">
        <v>6.5</v>
      </c>
      <c r="F62" s="48">
        <v>8</v>
      </c>
      <c r="G62" s="49">
        <f t="shared" si="5"/>
        <v>67.600000000000009</v>
      </c>
      <c r="H62" s="48">
        <v>106.25</v>
      </c>
      <c r="I62" s="50">
        <v>15</v>
      </c>
      <c r="J62" s="51">
        <f t="shared" si="0"/>
        <v>188.85000000000002</v>
      </c>
      <c r="K62" s="52">
        <f t="shared" si="1"/>
        <v>6.5</v>
      </c>
      <c r="L62" s="50">
        <f t="shared" si="2"/>
        <v>67.599999999999994</v>
      </c>
      <c r="M62" s="50">
        <f t="shared" si="6"/>
        <v>138.125</v>
      </c>
      <c r="N62" s="50">
        <f t="shared" si="3"/>
        <v>15</v>
      </c>
      <c r="O62" s="28">
        <f t="shared" si="4"/>
        <v>220.72499999999999</v>
      </c>
      <c r="P62" s="193"/>
      <c r="Q62" s="214"/>
      <c r="R62" s="214"/>
      <c r="S62" s="214"/>
      <c r="T62" s="214"/>
      <c r="U62" s="214"/>
      <c r="V62" s="214"/>
    </row>
    <row r="63" spans="1:22">
      <c r="A63" s="133" t="s">
        <v>262</v>
      </c>
      <c r="B63" s="139" t="s">
        <v>263</v>
      </c>
      <c r="C63" s="135" t="s">
        <v>105</v>
      </c>
      <c r="D63" s="238">
        <v>1</v>
      </c>
      <c r="E63" s="48">
        <v>6.5</v>
      </c>
      <c r="F63" s="48">
        <v>8</v>
      </c>
      <c r="G63" s="49">
        <f t="shared" si="5"/>
        <v>67.600000000000009</v>
      </c>
      <c r="H63" s="48">
        <v>237.5</v>
      </c>
      <c r="I63" s="50">
        <v>15</v>
      </c>
      <c r="J63" s="51">
        <f t="shared" si="0"/>
        <v>320.10000000000002</v>
      </c>
      <c r="K63" s="52">
        <f t="shared" si="1"/>
        <v>6.5</v>
      </c>
      <c r="L63" s="50">
        <f t="shared" si="2"/>
        <v>67.599999999999994</v>
      </c>
      <c r="M63" s="50">
        <f t="shared" si="6"/>
        <v>308.75</v>
      </c>
      <c r="N63" s="50">
        <f t="shared" si="3"/>
        <v>15</v>
      </c>
      <c r="O63" s="28">
        <f t="shared" si="4"/>
        <v>391.35</v>
      </c>
      <c r="P63" s="193"/>
      <c r="Q63" s="214"/>
      <c r="R63" s="214"/>
      <c r="S63" s="214"/>
      <c r="T63" s="214"/>
      <c r="U63" s="214"/>
      <c r="V63" s="214"/>
    </row>
    <row r="64" spans="1:22">
      <c r="A64" s="133" t="s">
        <v>264</v>
      </c>
      <c r="B64" s="139" t="s">
        <v>265</v>
      </c>
      <c r="C64" s="135" t="s">
        <v>105</v>
      </c>
      <c r="D64" s="238">
        <v>1</v>
      </c>
      <c r="E64" s="48">
        <v>6.5</v>
      </c>
      <c r="F64" s="48">
        <v>8</v>
      </c>
      <c r="G64" s="49">
        <f t="shared" si="5"/>
        <v>67.600000000000009</v>
      </c>
      <c r="H64" s="48">
        <v>268.75</v>
      </c>
      <c r="I64" s="50">
        <v>15</v>
      </c>
      <c r="J64" s="51">
        <f t="shared" si="0"/>
        <v>351.35</v>
      </c>
      <c r="K64" s="52">
        <f t="shared" si="1"/>
        <v>6.5</v>
      </c>
      <c r="L64" s="50">
        <f t="shared" si="2"/>
        <v>67.599999999999994</v>
      </c>
      <c r="M64" s="50">
        <f t="shared" si="6"/>
        <v>349.375</v>
      </c>
      <c r="N64" s="50">
        <f t="shared" si="3"/>
        <v>15</v>
      </c>
      <c r="O64" s="28">
        <f t="shared" si="4"/>
        <v>431.97500000000002</v>
      </c>
      <c r="P64" s="193"/>
      <c r="Q64" s="214"/>
      <c r="R64" s="214"/>
      <c r="S64" s="214"/>
      <c r="T64" s="214"/>
      <c r="U64" s="214"/>
      <c r="V64" s="214"/>
    </row>
    <row r="65" spans="1:22">
      <c r="A65" s="133" t="s">
        <v>266</v>
      </c>
      <c r="B65" s="139" t="s">
        <v>267</v>
      </c>
      <c r="C65" s="135" t="s">
        <v>105</v>
      </c>
      <c r="D65" s="238">
        <v>1</v>
      </c>
      <c r="E65" s="48">
        <v>6.5</v>
      </c>
      <c r="F65" s="48">
        <v>8</v>
      </c>
      <c r="G65" s="49">
        <f t="shared" si="5"/>
        <v>67.600000000000009</v>
      </c>
      <c r="H65" s="48">
        <v>275</v>
      </c>
      <c r="I65" s="50">
        <v>15</v>
      </c>
      <c r="J65" s="51">
        <f t="shared" si="0"/>
        <v>357.6</v>
      </c>
      <c r="K65" s="52">
        <f t="shared" si="1"/>
        <v>6.5</v>
      </c>
      <c r="L65" s="50">
        <f t="shared" si="2"/>
        <v>67.599999999999994</v>
      </c>
      <c r="M65" s="50">
        <f t="shared" si="6"/>
        <v>357.5</v>
      </c>
      <c r="N65" s="50">
        <f t="shared" si="3"/>
        <v>15</v>
      </c>
      <c r="O65" s="28">
        <f t="shared" si="4"/>
        <v>440.1</v>
      </c>
      <c r="P65" s="193"/>
      <c r="Q65" s="214"/>
      <c r="R65" s="214"/>
      <c r="S65" s="214"/>
      <c r="T65" s="214"/>
      <c r="U65" s="214"/>
      <c r="V65" s="214"/>
    </row>
    <row r="66" spans="1:22">
      <c r="A66" s="133" t="s">
        <v>268</v>
      </c>
      <c r="B66" s="139" t="s">
        <v>269</v>
      </c>
      <c r="C66" s="135" t="s">
        <v>105</v>
      </c>
      <c r="D66" s="238">
        <v>1</v>
      </c>
      <c r="E66" s="48">
        <v>6.5</v>
      </c>
      <c r="F66" s="48">
        <v>8</v>
      </c>
      <c r="G66" s="49">
        <f t="shared" si="5"/>
        <v>67.600000000000009</v>
      </c>
      <c r="H66" s="48">
        <v>150</v>
      </c>
      <c r="I66" s="50">
        <v>15</v>
      </c>
      <c r="J66" s="51">
        <f t="shared" si="0"/>
        <v>232.60000000000002</v>
      </c>
      <c r="K66" s="52">
        <f t="shared" si="1"/>
        <v>6.5</v>
      </c>
      <c r="L66" s="50">
        <f t="shared" si="2"/>
        <v>67.599999999999994</v>
      </c>
      <c r="M66" s="50">
        <f t="shared" si="6"/>
        <v>195</v>
      </c>
      <c r="N66" s="50">
        <f t="shared" si="3"/>
        <v>15</v>
      </c>
      <c r="O66" s="28">
        <f t="shared" si="4"/>
        <v>277.60000000000002</v>
      </c>
      <c r="P66" s="193"/>
      <c r="Q66" s="214"/>
      <c r="R66" s="214"/>
      <c r="S66" s="214"/>
      <c r="T66" s="214"/>
      <c r="U66" s="214"/>
      <c r="V66" s="214"/>
    </row>
    <row r="67" spans="1:22">
      <c r="A67" s="133" t="s">
        <v>270</v>
      </c>
      <c r="B67" s="134" t="s">
        <v>271</v>
      </c>
      <c r="C67" s="135" t="s">
        <v>105</v>
      </c>
      <c r="D67" s="238">
        <v>1</v>
      </c>
      <c r="E67" s="48">
        <v>6.5</v>
      </c>
      <c r="F67" s="48">
        <v>8</v>
      </c>
      <c r="G67" s="49">
        <f t="shared" si="5"/>
        <v>67.600000000000009</v>
      </c>
      <c r="H67" s="48">
        <v>218.75</v>
      </c>
      <c r="I67" s="50">
        <v>15</v>
      </c>
      <c r="J67" s="51">
        <f t="shared" si="0"/>
        <v>301.35000000000002</v>
      </c>
      <c r="K67" s="52">
        <f t="shared" si="1"/>
        <v>6.5</v>
      </c>
      <c r="L67" s="50">
        <f t="shared" si="2"/>
        <v>67.599999999999994</v>
      </c>
      <c r="M67" s="50">
        <f t="shared" si="6"/>
        <v>284.375</v>
      </c>
      <c r="N67" s="50">
        <f t="shared" si="3"/>
        <v>15</v>
      </c>
      <c r="O67" s="28">
        <f t="shared" si="4"/>
        <v>366.97500000000002</v>
      </c>
      <c r="P67" s="193"/>
      <c r="Q67" s="214"/>
      <c r="R67" s="214"/>
      <c r="S67" s="214"/>
      <c r="T67" s="214"/>
      <c r="U67" s="214"/>
      <c r="V67" s="214"/>
    </row>
    <row r="68" spans="1:22">
      <c r="A68" s="133" t="s">
        <v>272</v>
      </c>
      <c r="B68" s="137" t="s">
        <v>273</v>
      </c>
      <c r="C68" s="135" t="s">
        <v>105</v>
      </c>
      <c r="D68" s="238">
        <v>1</v>
      </c>
      <c r="E68" s="48">
        <v>6.5</v>
      </c>
      <c r="F68" s="48">
        <v>8</v>
      </c>
      <c r="G68" s="49">
        <f t="shared" si="5"/>
        <v>67.600000000000009</v>
      </c>
      <c r="H68" s="48">
        <v>425</v>
      </c>
      <c r="I68" s="50">
        <v>15</v>
      </c>
      <c r="J68" s="51">
        <f t="shared" si="0"/>
        <v>507.6</v>
      </c>
      <c r="K68" s="52">
        <f t="shared" si="1"/>
        <v>6.5</v>
      </c>
      <c r="L68" s="50">
        <f t="shared" si="2"/>
        <v>67.599999999999994</v>
      </c>
      <c r="M68" s="50">
        <f t="shared" si="6"/>
        <v>552.5</v>
      </c>
      <c r="N68" s="50">
        <f t="shared" si="3"/>
        <v>15</v>
      </c>
      <c r="O68" s="28">
        <f t="shared" si="4"/>
        <v>635.1</v>
      </c>
      <c r="P68" s="193"/>
      <c r="Q68" s="214"/>
      <c r="R68" s="214"/>
      <c r="S68" s="214"/>
      <c r="T68" s="214"/>
      <c r="U68" s="214"/>
      <c r="V68" s="214"/>
    </row>
    <row r="69" spans="1:22">
      <c r="A69" s="133" t="s">
        <v>274</v>
      </c>
      <c r="B69" s="139" t="s">
        <v>275</v>
      </c>
      <c r="C69" s="135" t="s">
        <v>105</v>
      </c>
      <c r="D69" s="238">
        <v>1</v>
      </c>
      <c r="E69" s="48">
        <v>6.5</v>
      </c>
      <c r="F69" s="48">
        <v>8</v>
      </c>
      <c r="G69" s="49">
        <f t="shared" si="5"/>
        <v>67.600000000000009</v>
      </c>
      <c r="H69" s="48">
        <v>368.75</v>
      </c>
      <c r="I69" s="50">
        <v>15</v>
      </c>
      <c r="J69" s="51">
        <f t="shared" si="0"/>
        <v>451.35</v>
      </c>
      <c r="K69" s="52">
        <f t="shared" si="1"/>
        <v>6.5</v>
      </c>
      <c r="L69" s="50">
        <f t="shared" si="2"/>
        <v>67.599999999999994</v>
      </c>
      <c r="M69" s="50">
        <f t="shared" si="6"/>
        <v>479.375</v>
      </c>
      <c r="N69" s="50">
        <f t="shared" si="3"/>
        <v>15</v>
      </c>
      <c r="O69" s="28">
        <f t="shared" si="4"/>
        <v>561.97500000000002</v>
      </c>
      <c r="P69" s="193"/>
      <c r="Q69" s="214"/>
      <c r="R69" s="214"/>
      <c r="S69" s="214"/>
      <c r="T69" s="214"/>
      <c r="U69" s="214"/>
      <c r="V69" s="214"/>
    </row>
    <row r="70" spans="1:22">
      <c r="A70" s="71"/>
      <c r="B70" s="73" t="s">
        <v>276</v>
      </c>
      <c r="C70" s="69"/>
      <c r="D70" s="69"/>
      <c r="E70" s="69"/>
      <c r="F70" s="69"/>
      <c r="G70" s="43"/>
      <c r="H70" s="69"/>
      <c r="I70" s="69"/>
      <c r="J70" s="69"/>
      <c r="K70" s="69"/>
      <c r="L70" s="69"/>
      <c r="M70" s="44"/>
      <c r="N70" s="69"/>
      <c r="O70" s="69"/>
      <c r="P70" s="193"/>
      <c r="Q70" s="214"/>
      <c r="R70" s="214"/>
      <c r="S70" s="214"/>
      <c r="T70" s="214"/>
      <c r="U70" s="214"/>
      <c r="V70" s="214"/>
    </row>
    <row r="71" spans="1:22" ht="31.5">
      <c r="A71" s="133" t="s">
        <v>39</v>
      </c>
      <c r="B71" s="139" t="s">
        <v>277</v>
      </c>
      <c r="C71" s="135" t="s">
        <v>81</v>
      </c>
      <c r="D71" s="238">
        <v>1</v>
      </c>
      <c r="E71" s="48">
        <v>28</v>
      </c>
      <c r="F71" s="48">
        <v>8</v>
      </c>
      <c r="G71" s="49">
        <f t="shared" si="5"/>
        <v>291.2</v>
      </c>
      <c r="H71" s="48">
        <v>1680.87</v>
      </c>
      <c r="I71" s="50">
        <v>0.15</v>
      </c>
      <c r="J71" s="51">
        <f t="shared" si="0"/>
        <v>1972.22</v>
      </c>
      <c r="K71" s="52">
        <f t="shared" si="1"/>
        <v>28</v>
      </c>
      <c r="L71" s="50">
        <f t="shared" si="2"/>
        <v>291.2</v>
      </c>
      <c r="M71" s="50">
        <f t="shared" si="6"/>
        <v>2185.1309999999999</v>
      </c>
      <c r="N71" s="50">
        <f t="shared" si="3"/>
        <v>0.15</v>
      </c>
      <c r="O71" s="28">
        <f t="shared" si="4"/>
        <v>2476.4809999999998</v>
      </c>
      <c r="P71" s="193"/>
      <c r="Q71" s="214"/>
      <c r="R71" s="214"/>
      <c r="S71" s="214"/>
      <c r="T71" s="214"/>
      <c r="U71" s="214"/>
      <c r="V71" s="214"/>
    </row>
    <row r="72" spans="1:22" ht="31.5">
      <c r="A72" s="133" t="s">
        <v>71</v>
      </c>
      <c r="B72" s="139" t="s">
        <v>278</v>
      </c>
      <c r="C72" s="135" t="s">
        <v>81</v>
      </c>
      <c r="D72" s="238">
        <v>1</v>
      </c>
      <c r="E72" s="48">
        <v>16</v>
      </c>
      <c r="F72" s="48">
        <v>8</v>
      </c>
      <c r="G72" s="49">
        <f t="shared" si="5"/>
        <v>166.4</v>
      </c>
      <c r="H72" s="48">
        <v>302</v>
      </c>
      <c r="I72" s="50">
        <v>0.15</v>
      </c>
      <c r="J72" s="51">
        <f t="shared" si="0"/>
        <v>468.54999999999995</v>
      </c>
      <c r="K72" s="52">
        <f t="shared" si="1"/>
        <v>16</v>
      </c>
      <c r="L72" s="50">
        <f t="shared" si="2"/>
        <v>166.4</v>
      </c>
      <c r="M72" s="50">
        <f t="shared" si="6"/>
        <v>392.6</v>
      </c>
      <c r="N72" s="50">
        <f t="shared" si="3"/>
        <v>0.15</v>
      </c>
      <c r="O72" s="28">
        <f t="shared" si="4"/>
        <v>559.15</v>
      </c>
      <c r="P72" s="193"/>
      <c r="Q72" s="214"/>
      <c r="R72" s="214"/>
      <c r="S72" s="214"/>
      <c r="T72" s="214"/>
      <c r="U72" s="214"/>
      <c r="V72" s="214"/>
    </row>
    <row r="73" spans="1:22">
      <c r="A73" s="133" t="s">
        <v>74</v>
      </c>
      <c r="B73" s="139" t="s">
        <v>279</v>
      </c>
      <c r="C73" s="135" t="s">
        <v>105</v>
      </c>
      <c r="D73" s="238">
        <v>1</v>
      </c>
      <c r="E73" s="48">
        <v>4.5</v>
      </c>
      <c r="F73" s="48">
        <v>8</v>
      </c>
      <c r="G73" s="49">
        <f t="shared" si="5"/>
        <v>46.800000000000004</v>
      </c>
      <c r="H73" s="48">
        <v>146.46</v>
      </c>
      <c r="I73" s="50">
        <v>0.15</v>
      </c>
      <c r="J73" s="51">
        <f t="shared" si="0"/>
        <v>193.41000000000003</v>
      </c>
      <c r="K73" s="52">
        <f t="shared" si="1"/>
        <v>4.5</v>
      </c>
      <c r="L73" s="50">
        <f t="shared" si="2"/>
        <v>46.8</v>
      </c>
      <c r="M73" s="50">
        <f t="shared" si="6"/>
        <v>190.39800000000002</v>
      </c>
      <c r="N73" s="50">
        <f t="shared" si="3"/>
        <v>0.15</v>
      </c>
      <c r="O73" s="28">
        <f t="shared" si="4"/>
        <v>237.34800000000004</v>
      </c>
      <c r="P73" s="193"/>
      <c r="Q73" s="214"/>
      <c r="R73" s="214"/>
      <c r="S73" s="214"/>
      <c r="T73" s="214"/>
      <c r="U73" s="214"/>
      <c r="V73" s="214"/>
    </row>
    <row r="74" spans="1:22">
      <c r="A74" s="133" t="s">
        <v>77</v>
      </c>
      <c r="B74" s="134" t="s">
        <v>280</v>
      </c>
      <c r="C74" s="135" t="s">
        <v>84</v>
      </c>
      <c r="D74" s="238">
        <v>20</v>
      </c>
      <c r="E74" s="48">
        <v>0.25</v>
      </c>
      <c r="F74" s="48">
        <v>8</v>
      </c>
      <c r="G74" s="49">
        <f t="shared" si="5"/>
        <v>2.6</v>
      </c>
      <c r="H74" s="48">
        <v>2.62</v>
      </c>
      <c r="I74" s="50">
        <v>0.15</v>
      </c>
      <c r="J74" s="51">
        <f t="shared" si="0"/>
        <v>5.370000000000001</v>
      </c>
      <c r="K74" s="52">
        <f t="shared" si="1"/>
        <v>5</v>
      </c>
      <c r="L74" s="50">
        <f t="shared" si="2"/>
        <v>52</v>
      </c>
      <c r="M74" s="50">
        <f t="shared" si="6"/>
        <v>68.12</v>
      </c>
      <c r="N74" s="50">
        <f t="shared" si="3"/>
        <v>3</v>
      </c>
      <c r="O74" s="28">
        <f t="shared" si="4"/>
        <v>123.12</v>
      </c>
      <c r="P74" s="193"/>
      <c r="Q74" s="214"/>
      <c r="R74" s="214"/>
      <c r="S74" s="214"/>
      <c r="T74" s="214"/>
      <c r="U74" s="214"/>
      <c r="V74" s="214"/>
    </row>
    <row r="75" spans="1:22">
      <c r="A75" s="133" t="s">
        <v>79</v>
      </c>
      <c r="B75" s="139" t="s">
        <v>281</v>
      </c>
      <c r="C75" s="135" t="s">
        <v>81</v>
      </c>
      <c r="D75" s="238">
        <v>11</v>
      </c>
      <c r="E75" s="48">
        <v>0.45</v>
      </c>
      <c r="F75" s="48">
        <v>8</v>
      </c>
      <c r="G75" s="49">
        <f t="shared" si="5"/>
        <v>4.6800000000000006</v>
      </c>
      <c r="H75" s="48">
        <v>3</v>
      </c>
      <c r="I75" s="50">
        <v>0.15</v>
      </c>
      <c r="J75" s="51">
        <f t="shared" si="0"/>
        <v>7.830000000000001</v>
      </c>
      <c r="K75" s="52">
        <f t="shared" si="1"/>
        <v>4.95</v>
      </c>
      <c r="L75" s="50">
        <f t="shared" si="2"/>
        <v>51.48</v>
      </c>
      <c r="M75" s="50">
        <f t="shared" si="6"/>
        <v>42.9</v>
      </c>
      <c r="N75" s="50">
        <f t="shared" si="3"/>
        <v>1.65</v>
      </c>
      <c r="O75" s="28">
        <f t="shared" si="4"/>
        <v>96.03</v>
      </c>
      <c r="P75" s="193"/>
      <c r="Q75" s="214"/>
      <c r="R75" s="214"/>
      <c r="S75" s="214"/>
      <c r="T75" s="214"/>
      <c r="U75" s="214"/>
      <c r="V75" s="214"/>
    </row>
    <row r="76" spans="1:22" ht="31.5">
      <c r="A76" s="133" t="s">
        <v>82</v>
      </c>
      <c r="B76" s="139" t="s">
        <v>282</v>
      </c>
      <c r="C76" s="135" t="s">
        <v>81</v>
      </c>
      <c r="D76" s="238">
        <v>4</v>
      </c>
      <c r="E76" s="48">
        <v>0.15</v>
      </c>
      <c r="F76" s="48">
        <v>8</v>
      </c>
      <c r="G76" s="49">
        <f t="shared" si="5"/>
        <v>1.56</v>
      </c>
      <c r="H76" s="48">
        <v>4.74</v>
      </c>
      <c r="I76" s="50">
        <v>0.15</v>
      </c>
      <c r="J76" s="51">
        <f t="shared" si="0"/>
        <v>6.4500000000000011</v>
      </c>
      <c r="K76" s="52">
        <f t="shared" si="1"/>
        <v>0.6</v>
      </c>
      <c r="L76" s="50">
        <f t="shared" si="2"/>
        <v>6.24</v>
      </c>
      <c r="M76" s="50">
        <f t="shared" si="6"/>
        <v>24.648000000000003</v>
      </c>
      <c r="N76" s="50">
        <f t="shared" si="3"/>
        <v>0.6</v>
      </c>
      <c r="O76" s="28">
        <f t="shared" si="4"/>
        <v>31.488000000000007</v>
      </c>
      <c r="P76" s="193"/>
      <c r="Q76" s="214"/>
      <c r="R76" s="214"/>
      <c r="S76" s="214"/>
      <c r="T76" s="214"/>
      <c r="U76" s="214"/>
      <c r="V76" s="214"/>
    </row>
    <row r="77" spans="1:22">
      <c r="A77" s="133" t="s">
        <v>85</v>
      </c>
      <c r="B77" s="139" t="s">
        <v>283</v>
      </c>
      <c r="C77" s="135" t="s">
        <v>81</v>
      </c>
      <c r="D77" s="238">
        <v>23</v>
      </c>
      <c r="E77" s="48">
        <v>0.22</v>
      </c>
      <c r="F77" s="48">
        <v>8</v>
      </c>
      <c r="G77" s="49">
        <f t="shared" si="5"/>
        <v>2.2880000000000003</v>
      </c>
      <c r="H77" s="48">
        <v>2.48</v>
      </c>
      <c r="I77" s="50">
        <v>0.15</v>
      </c>
      <c r="J77" s="51">
        <f t="shared" si="0"/>
        <v>4.918000000000001</v>
      </c>
      <c r="K77" s="52">
        <f t="shared" si="1"/>
        <v>5.0599999999999996</v>
      </c>
      <c r="L77" s="50">
        <f t="shared" si="2"/>
        <v>52.62</v>
      </c>
      <c r="M77" s="50">
        <f t="shared" si="6"/>
        <v>74.152000000000001</v>
      </c>
      <c r="N77" s="50">
        <f t="shared" si="3"/>
        <v>3.45</v>
      </c>
      <c r="O77" s="28">
        <f t="shared" si="4"/>
        <v>130.22199999999998</v>
      </c>
      <c r="P77" s="193"/>
      <c r="Q77" s="214"/>
      <c r="R77" s="214"/>
      <c r="S77" s="214"/>
      <c r="T77" s="214"/>
      <c r="U77" s="214"/>
      <c r="V77" s="214"/>
    </row>
    <row r="78" spans="1:22">
      <c r="A78" s="133" t="s">
        <v>87</v>
      </c>
      <c r="B78" s="134" t="s">
        <v>284</v>
      </c>
      <c r="C78" s="135" t="s">
        <v>81</v>
      </c>
      <c r="D78" s="238">
        <v>23</v>
      </c>
      <c r="E78" s="48">
        <v>0.35</v>
      </c>
      <c r="F78" s="48">
        <v>8</v>
      </c>
      <c r="G78" s="49">
        <f t="shared" si="5"/>
        <v>3.6399999999999997</v>
      </c>
      <c r="H78" s="48">
        <v>0.35</v>
      </c>
      <c r="I78" s="50">
        <v>0.15</v>
      </c>
      <c r="J78" s="51">
        <f t="shared" si="0"/>
        <v>4.1399999999999997</v>
      </c>
      <c r="K78" s="52">
        <f t="shared" si="1"/>
        <v>8.0500000000000007</v>
      </c>
      <c r="L78" s="50">
        <f t="shared" si="2"/>
        <v>83.72</v>
      </c>
      <c r="M78" s="50">
        <f t="shared" si="6"/>
        <v>10.465000000000002</v>
      </c>
      <c r="N78" s="50">
        <f t="shared" si="3"/>
        <v>3.45</v>
      </c>
      <c r="O78" s="28">
        <f t="shared" si="4"/>
        <v>97.635000000000005</v>
      </c>
      <c r="P78" s="193"/>
      <c r="Q78" s="214"/>
      <c r="R78" s="214"/>
      <c r="S78" s="214"/>
      <c r="T78" s="214"/>
      <c r="U78" s="214"/>
      <c r="V78" s="214"/>
    </row>
    <row r="79" spans="1:22">
      <c r="A79" s="133" t="s">
        <v>89</v>
      </c>
      <c r="B79" s="139" t="s">
        <v>285</v>
      </c>
      <c r="C79" s="135" t="s">
        <v>81</v>
      </c>
      <c r="D79" s="238">
        <v>1</v>
      </c>
      <c r="E79" s="48">
        <v>0.15</v>
      </c>
      <c r="F79" s="48">
        <v>8</v>
      </c>
      <c r="G79" s="49">
        <f t="shared" si="5"/>
        <v>1.56</v>
      </c>
      <c r="H79" s="48">
        <v>25.8</v>
      </c>
      <c r="I79" s="50">
        <v>0.15</v>
      </c>
      <c r="J79" s="51">
        <f t="shared" si="0"/>
        <v>27.509999999999998</v>
      </c>
      <c r="K79" s="52">
        <f t="shared" si="1"/>
        <v>0.15</v>
      </c>
      <c r="L79" s="50">
        <f t="shared" si="2"/>
        <v>1.56</v>
      </c>
      <c r="M79" s="50">
        <f t="shared" si="6"/>
        <v>33.54</v>
      </c>
      <c r="N79" s="50">
        <f t="shared" si="3"/>
        <v>0.15</v>
      </c>
      <c r="O79" s="28">
        <f t="shared" si="4"/>
        <v>35.25</v>
      </c>
      <c r="P79" s="193"/>
      <c r="Q79" s="214"/>
      <c r="R79" s="214"/>
      <c r="S79" s="214"/>
      <c r="T79" s="214"/>
      <c r="U79" s="214"/>
      <c r="V79" s="214"/>
    </row>
    <row r="80" spans="1:22" ht="31.5">
      <c r="A80" s="133" t="s">
        <v>91</v>
      </c>
      <c r="B80" s="139" t="s">
        <v>286</v>
      </c>
      <c r="C80" s="135" t="s">
        <v>81</v>
      </c>
      <c r="D80" s="238">
        <v>1</v>
      </c>
      <c r="E80" s="48">
        <v>0.25</v>
      </c>
      <c r="F80" s="48">
        <v>8</v>
      </c>
      <c r="G80" s="49">
        <f t="shared" si="5"/>
        <v>2.6</v>
      </c>
      <c r="H80" s="48">
        <v>23.56</v>
      </c>
      <c r="I80" s="50">
        <v>0.15</v>
      </c>
      <c r="J80" s="51">
        <f t="shared" si="0"/>
        <v>26.31</v>
      </c>
      <c r="K80" s="52">
        <f t="shared" si="1"/>
        <v>0.25</v>
      </c>
      <c r="L80" s="50">
        <f t="shared" si="2"/>
        <v>2.6</v>
      </c>
      <c r="M80" s="50">
        <f t="shared" si="6"/>
        <v>30.628</v>
      </c>
      <c r="N80" s="50">
        <f t="shared" si="3"/>
        <v>0.15</v>
      </c>
      <c r="O80" s="28">
        <f t="shared" si="4"/>
        <v>33.378</v>
      </c>
      <c r="P80" s="193"/>
      <c r="Q80" s="214"/>
      <c r="R80" s="214"/>
      <c r="S80" s="214"/>
      <c r="T80" s="214"/>
      <c r="U80" s="214"/>
      <c r="V80" s="214"/>
    </row>
    <row r="81" spans="1:22" ht="31.5">
      <c r="A81" s="133" t="s">
        <v>93</v>
      </c>
      <c r="B81" s="139" t="s">
        <v>287</v>
      </c>
      <c r="C81" s="135" t="s">
        <v>81</v>
      </c>
      <c r="D81" s="238">
        <v>6</v>
      </c>
      <c r="E81" s="48">
        <v>0.25</v>
      </c>
      <c r="F81" s="48">
        <v>8</v>
      </c>
      <c r="G81" s="49">
        <f t="shared" ref="G81:G144" si="7">ROUND(E81*F81,2)*1.3</f>
        <v>2.6</v>
      </c>
      <c r="H81" s="48">
        <v>8.2200000000000006</v>
      </c>
      <c r="I81" s="50">
        <v>0.15</v>
      </c>
      <c r="J81" s="51">
        <f t="shared" si="0"/>
        <v>10.97</v>
      </c>
      <c r="K81" s="52">
        <f t="shared" si="1"/>
        <v>1.5</v>
      </c>
      <c r="L81" s="50">
        <f t="shared" si="2"/>
        <v>15.6</v>
      </c>
      <c r="M81" s="50">
        <f t="shared" ref="M81:M144" si="8">ROUND(D81*H81,2)*1.3</f>
        <v>64.116</v>
      </c>
      <c r="N81" s="50">
        <f t="shared" si="3"/>
        <v>0.9</v>
      </c>
      <c r="O81" s="28">
        <f t="shared" si="4"/>
        <v>80.616</v>
      </c>
      <c r="P81" s="193"/>
      <c r="Q81" s="214"/>
      <c r="R81" s="214"/>
      <c r="S81" s="214"/>
      <c r="T81" s="214"/>
      <c r="U81" s="214"/>
      <c r="V81" s="214"/>
    </row>
    <row r="82" spans="1:22" ht="31.5">
      <c r="A82" s="133" t="s">
        <v>95</v>
      </c>
      <c r="B82" s="139" t="s">
        <v>288</v>
      </c>
      <c r="C82" s="135" t="s">
        <v>81</v>
      </c>
      <c r="D82" s="238">
        <v>3</v>
      </c>
      <c r="E82" s="48">
        <v>0.85</v>
      </c>
      <c r="F82" s="48">
        <v>8</v>
      </c>
      <c r="G82" s="49">
        <f t="shared" si="7"/>
        <v>8.84</v>
      </c>
      <c r="H82" s="48">
        <v>3.44</v>
      </c>
      <c r="I82" s="50">
        <v>0.15</v>
      </c>
      <c r="J82" s="51">
        <f t="shared" si="0"/>
        <v>12.43</v>
      </c>
      <c r="K82" s="52">
        <f t="shared" si="1"/>
        <v>2.5499999999999998</v>
      </c>
      <c r="L82" s="50">
        <f t="shared" si="2"/>
        <v>26.52</v>
      </c>
      <c r="M82" s="50">
        <f t="shared" si="8"/>
        <v>13.416</v>
      </c>
      <c r="N82" s="50">
        <f t="shared" si="3"/>
        <v>0.45</v>
      </c>
      <c r="O82" s="28">
        <f t="shared" si="4"/>
        <v>40.386000000000003</v>
      </c>
      <c r="P82" s="193"/>
      <c r="Q82" s="214"/>
      <c r="R82" s="214"/>
      <c r="S82" s="214"/>
      <c r="T82" s="214"/>
      <c r="U82" s="214"/>
      <c r="V82" s="214"/>
    </row>
    <row r="83" spans="1:22">
      <c r="A83" s="133" t="s">
        <v>97</v>
      </c>
      <c r="B83" s="139" t="s">
        <v>289</v>
      </c>
      <c r="C83" s="135" t="s">
        <v>81</v>
      </c>
      <c r="D83" s="238">
        <v>1</v>
      </c>
      <c r="E83" s="48">
        <v>0.85</v>
      </c>
      <c r="F83" s="48">
        <v>8</v>
      </c>
      <c r="G83" s="49">
        <f t="shared" si="7"/>
        <v>8.84</v>
      </c>
      <c r="H83" s="48">
        <v>2.42</v>
      </c>
      <c r="I83" s="50">
        <v>0.15</v>
      </c>
      <c r="J83" s="51">
        <f t="shared" si="0"/>
        <v>11.41</v>
      </c>
      <c r="K83" s="52">
        <f t="shared" si="1"/>
        <v>0.85</v>
      </c>
      <c r="L83" s="50">
        <f t="shared" si="2"/>
        <v>8.84</v>
      </c>
      <c r="M83" s="50">
        <f t="shared" si="8"/>
        <v>3.1459999999999999</v>
      </c>
      <c r="N83" s="50">
        <f t="shared" si="3"/>
        <v>0.15</v>
      </c>
      <c r="O83" s="28">
        <f t="shared" si="4"/>
        <v>12.136000000000001</v>
      </c>
      <c r="P83" s="193"/>
      <c r="Q83" s="214"/>
      <c r="R83" s="214"/>
      <c r="S83" s="214"/>
      <c r="T83" s="214"/>
      <c r="U83" s="214"/>
      <c r="V83" s="214"/>
    </row>
    <row r="84" spans="1:22">
      <c r="A84" s="133" t="s">
        <v>99</v>
      </c>
      <c r="B84" s="134" t="s">
        <v>290</v>
      </c>
      <c r="C84" s="135" t="s">
        <v>291</v>
      </c>
      <c r="D84" s="238">
        <v>6</v>
      </c>
      <c r="E84" s="48">
        <v>0</v>
      </c>
      <c r="F84" s="48">
        <v>8</v>
      </c>
      <c r="G84" s="49">
        <f t="shared" si="7"/>
        <v>0</v>
      </c>
      <c r="H84" s="48">
        <v>15</v>
      </c>
      <c r="I84" s="50">
        <v>35</v>
      </c>
      <c r="J84" s="51">
        <f t="shared" si="0"/>
        <v>50</v>
      </c>
      <c r="K84" s="52">
        <f t="shared" si="1"/>
        <v>0</v>
      </c>
      <c r="L84" s="50">
        <f t="shared" si="2"/>
        <v>0</v>
      </c>
      <c r="M84" s="50">
        <f t="shared" si="8"/>
        <v>117</v>
      </c>
      <c r="N84" s="50">
        <f t="shared" si="3"/>
        <v>210</v>
      </c>
      <c r="O84" s="28">
        <f t="shared" si="4"/>
        <v>327</v>
      </c>
      <c r="P84" s="193"/>
      <c r="Q84" s="214"/>
      <c r="R84" s="214"/>
      <c r="S84" s="214"/>
      <c r="T84" s="214"/>
      <c r="U84" s="214"/>
      <c r="V84" s="214"/>
    </row>
    <row r="85" spans="1:22">
      <c r="A85" s="71"/>
      <c r="B85" s="83" t="s">
        <v>292</v>
      </c>
      <c r="C85" s="71"/>
      <c r="D85" s="71"/>
      <c r="E85" s="71"/>
      <c r="F85" s="71"/>
      <c r="G85" s="43"/>
      <c r="H85" s="71"/>
      <c r="I85" s="71"/>
      <c r="J85" s="71"/>
      <c r="K85" s="71"/>
      <c r="L85" s="71"/>
      <c r="M85" s="44"/>
      <c r="N85" s="71"/>
      <c r="O85" s="71"/>
      <c r="P85" s="193"/>
      <c r="Q85" s="214"/>
      <c r="R85" s="214"/>
      <c r="S85" s="214"/>
      <c r="T85" s="214"/>
      <c r="U85" s="214"/>
      <c r="V85" s="214"/>
    </row>
    <row r="86" spans="1:22" ht="31.5">
      <c r="A86" s="133" t="s">
        <v>39</v>
      </c>
      <c r="B86" s="137" t="s">
        <v>293</v>
      </c>
      <c r="C86" s="135" t="s">
        <v>105</v>
      </c>
      <c r="D86" s="238">
        <v>1</v>
      </c>
      <c r="E86" s="48">
        <v>12</v>
      </c>
      <c r="F86" s="48">
        <v>8</v>
      </c>
      <c r="G86" s="49">
        <f t="shared" si="7"/>
        <v>124.80000000000001</v>
      </c>
      <c r="H86" s="48">
        <v>1224.18</v>
      </c>
      <c r="I86" s="50">
        <v>0.15</v>
      </c>
      <c r="J86" s="51">
        <f t="shared" si="0"/>
        <v>1349.13</v>
      </c>
      <c r="K86" s="52">
        <f t="shared" si="1"/>
        <v>12</v>
      </c>
      <c r="L86" s="50">
        <f t="shared" si="2"/>
        <v>124.8</v>
      </c>
      <c r="M86" s="50">
        <f t="shared" si="8"/>
        <v>1591.4340000000002</v>
      </c>
      <c r="N86" s="50">
        <f t="shared" si="3"/>
        <v>0.15</v>
      </c>
      <c r="O86" s="28">
        <f t="shared" si="4"/>
        <v>1716.3840000000002</v>
      </c>
      <c r="P86" s="193"/>
      <c r="Q86" s="214"/>
      <c r="R86" s="214"/>
      <c r="S86" s="214"/>
      <c r="T86" s="214"/>
      <c r="U86" s="214"/>
      <c r="V86" s="214"/>
    </row>
    <row r="87" spans="1:22">
      <c r="A87" s="133" t="s">
        <v>71</v>
      </c>
      <c r="B87" s="139" t="s">
        <v>294</v>
      </c>
      <c r="C87" s="135" t="s">
        <v>81</v>
      </c>
      <c r="D87" s="238">
        <v>4</v>
      </c>
      <c r="E87" s="48">
        <v>0.25</v>
      </c>
      <c r="F87" s="48">
        <v>8</v>
      </c>
      <c r="G87" s="49">
        <f t="shared" si="7"/>
        <v>2.6</v>
      </c>
      <c r="H87" s="48">
        <v>14.72</v>
      </c>
      <c r="I87" s="50">
        <v>0.15</v>
      </c>
      <c r="J87" s="51">
        <f t="shared" si="0"/>
        <v>17.47</v>
      </c>
      <c r="K87" s="52">
        <f t="shared" si="1"/>
        <v>1</v>
      </c>
      <c r="L87" s="50">
        <f t="shared" si="2"/>
        <v>10.4</v>
      </c>
      <c r="M87" s="50">
        <f t="shared" si="8"/>
        <v>76.544000000000011</v>
      </c>
      <c r="N87" s="50">
        <f t="shared" si="3"/>
        <v>0.6</v>
      </c>
      <c r="O87" s="28">
        <f t="shared" si="4"/>
        <v>87.544000000000011</v>
      </c>
      <c r="P87" s="193"/>
      <c r="Q87" s="214"/>
      <c r="R87" s="214"/>
      <c r="S87" s="214"/>
      <c r="T87" s="214"/>
      <c r="U87" s="214"/>
      <c r="V87" s="214"/>
    </row>
    <row r="88" spans="1:22" ht="31.5">
      <c r="A88" s="133" t="s">
        <v>74</v>
      </c>
      <c r="B88" s="139" t="s">
        <v>295</v>
      </c>
      <c r="C88" s="135" t="s">
        <v>105</v>
      </c>
      <c r="D88" s="238">
        <v>1</v>
      </c>
      <c r="E88" s="48">
        <v>0.35</v>
      </c>
      <c r="F88" s="48">
        <v>8</v>
      </c>
      <c r="G88" s="49">
        <f t="shared" si="7"/>
        <v>3.6399999999999997</v>
      </c>
      <c r="H88" s="48">
        <v>2814.8</v>
      </c>
      <c r="I88" s="50">
        <v>0.15</v>
      </c>
      <c r="J88" s="51">
        <f t="shared" si="0"/>
        <v>2818.59</v>
      </c>
      <c r="K88" s="52">
        <f t="shared" si="1"/>
        <v>0.35</v>
      </c>
      <c r="L88" s="50">
        <f t="shared" si="2"/>
        <v>3.64</v>
      </c>
      <c r="M88" s="50">
        <f t="shared" si="8"/>
        <v>3659.2400000000002</v>
      </c>
      <c r="N88" s="50">
        <f t="shared" si="3"/>
        <v>0.15</v>
      </c>
      <c r="O88" s="28">
        <f t="shared" si="4"/>
        <v>3663.03</v>
      </c>
      <c r="P88" s="193"/>
      <c r="Q88" s="214"/>
      <c r="R88" s="214"/>
      <c r="S88" s="214"/>
      <c r="T88" s="214"/>
      <c r="U88" s="214"/>
      <c r="V88" s="214"/>
    </row>
    <row r="89" spans="1:22" ht="31.5">
      <c r="A89" s="133" t="s">
        <v>77</v>
      </c>
      <c r="B89" s="139" t="s">
        <v>296</v>
      </c>
      <c r="C89" s="133" t="s">
        <v>81</v>
      </c>
      <c r="D89" s="238">
        <v>3</v>
      </c>
      <c r="E89" s="48">
        <v>0.65</v>
      </c>
      <c r="F89" s="48">
        <v>8</v>
      </c>
      <c r="G89" s="49">
        <f t="shared" si="7"/>
        <v>6.7600000000000007</v>
      </c>
      <c r="H89" s="48">
        <v>0</v>
      </c>
      <c r="I89" s="50">
        <v>0.15</v>
      </c>
      <c r="J89" s="51">
        <f t="shared" si="0"/>
        <v>6.910000000000001</v>
      </c>
      <c r="K89" s="52">
        <f t="shared" si="1"/>
        <v>1.95</v>
      </c>
      <c r="L89" s="50">
        <f t="shared" si="2"/>
        <v>20.28</v>
      </c>
      <c r="M89" s="50">
        <f t="shared" si="8"/>
        <v>0</v>
      </c>
      <c r="N89" s="50">
        <f t="shared" si="3"/>
        <v>0.45</v>
      </c>
      <c r="O89" s="28">
        <f t="shared" si="4"/>
        <v>20.73</v>
      </c>
      <c r="P89" s="193"/>
      <c r="Q89" s="214"/>
      <c r="R89" s="214"/>
      <c r="S89" s="214"/>
      <c r="T89" s="214"/>
      <c r="U89" s="214"/>
      <c r="V89" s="214"/>
    </row>
    <row r="90" spans="1:22">
      <c r="A90" s="133" t="s">
        <v>79</v>
      </c>
      <c r="B90" s="134" t="s">
        <v>297</v>
      </c>
      <c r="C90" s="133" t="s">
        <v>81</v>
      </c>
      <c r="D90" s="238">
        <v>3</v>
      </c>
      <c r="E90" s="48">
        <v>0.25</v>
      </c>
      <c r="F90" s="48">
        <v>8</v>
      </c>
      <c r="G90" s="49">
        <f t="shared" si="7"/>
        <v>2.6</v>
      </c>
      <c r="H90" s="48">
        <v>0</v>
      </c>
      <c r="I90" s="50">
        <v>0.15</v>
      </c>
      <c r="J90" s="51">
        <f t="shared" si="0"/>
        <v>2.75</v>
      </c>
      <c r="K90" s="52">
        <f t="shared" si="1"/>
        <v>0.75</v>
      </c>
      <c r="L90" s="50">
        <f t="shared" si="2"/>
        <v>7.8</v>
      </c>
      <c r="M90" s="50">
        <f t="shared" si="8"/>
        <v>0</v>
      </c>
      <c r="N90" s="50">
        <f t="shared" si="3"/>
        <v>0.45</v>
      </c>
      <c r="O90" s="28">
        <f t="shared" si="4"/>
        <v>8.25</v>
      </c>
      <c r="P90" s="193"/>
      <c r="Q90" s="214"/>
      <c r="R90" s="214"/>
      <c r="S90" s="214"/>
      <c r="T90" s="214"/>
      <c r="U90" s="214"/>
      <c r="V90" s="214"/>
    </row>
    <row r="91" spans="1:22">
      <c r="A91" s="133" t="s">
        <v>82</v>
      </c>
      <c r="B91" s="137" t="s">
        <v>298</v>
      </c>
      <c r="C91" s="133" t="s">
        <v>81</v>
      </c>
      <c r="D91" s="238">
        <v>28</v>
      </c>
      <c r="E91" s="48">
        <v>0.25</v>
      </c>
      <c r="F91" s="48">
        <v>8</v>
      </c>
      <c r="G91" s="49">
        <f t="shared" si="7"/>
        <v>2.6</v>
      </c>
      <c r="H91" s="48">
        <v>0</v>
      </c>
      <c r="I91" s="50">
        <v>0.15</v>
      </c>
      <c r="J91" s="51">
        <f t="shared" si="0"/>
        <v>2.75</v>
      </c>
      <c r="K91" s="52">
        <f t="shared" si="1"/>
        <v>7</v>
      </c>
      <c r="L91" s="50">
        <f t="shared" si="2"/>
        <v>72.8</v>
      </c>
      <c r="M91" s="50">
        <f t="shared" si="8"/>
        <v>0</v>
      </c>
      <c r="N91" s="50">
        <f t="shared" si="3"/>
        <v>4.2</v>
      </c>
      <c r="O91" s="28">
        <f t="shared" si="4"/>
        <v>77</v>
      </c>
      <c r="P91" s="193"/>
      <c r="Q91" s="214"/>
      <c r="R91" s="214"/>
      <c r="S91" s="214"/>
      <c r="T91" s="214"/>
      <c r="U91" s="214"/>
      <c r="V91" s="214"/>
    </row>
    <row r="92" spans="1:22" ht="31.5">
      <c r="A92" s="133" t="s">
        <v>85</v>
      </c>
      <c r="B92" s="139" t="s">
        <v>299</v>
      </c>
      <c r="C92" s="133" t="s">
        <v>81</v>
      </c>
      <c r="D92" s="238">
        <v>2</v>
      </c>
      <c r="E92" s="48">
        <v>0.32</v>
      </c>
      <c r="F92" s="48">
        <v>8</v>
      </c>
      <c r="G92" s="49">
        <f t="shared" si="7"/>
        <v>3.3280000000000003</v>
      </c>
      <c r="H92" s="48">
        <v>0</v>
      </c>
      <c r="I92" s="50">
        <v>0.15</v>
      </c>
      <c r="J92" s="51">
        <f t="shared" si="0"/>
        <v>3.4780000000000002</v>
      </c>
      <c r="K92" s="52">
        <f t="shared" si="1"/>
        <v>0.64</v>
      </c>
      <c r="L92" s="50">
        <f t="shared" si="2"/>
        <v>6.66</v>
      </c>
      <c r="M92" s="50">
        <f t="shared" si="8"/>
        <v>0</v>
      </c>
      <c r="N92" s="50">
        <f t="shared" si="3"/>
        <v>0.3</v>
      </c>
      <c r="O92" s="28">
        <f t="shared" si="4"/>
        <v>6.96</v>
      </c>
      <c r="P92" s="193"/>
      <c r="Q92" s="214"/>
      <c r="R92" s="214"/>
      <c r="S92" s="214"/>
      <c r="T92" s="214"/>
      <c r="U92" s="214"/>
      <c r="V92" s="214"/>
    </row>
    <row r="93" spans="1:22">
      <c r="A93" s="133" t="s">
        <v>87</v>
      </c>
      <c r="B93" s="139" t="s">
        <v>300</v>
      </c>
      <c r="C93" s="133" t="s">
        <v>81</v>
      </c>
      <c r="D93" s="238">
        <v>3</v>
      </c>
      <c r="E93" s="48">
        <v>0.35</v>
      </c>
      <c r="F93" s="48">
        <v>8</v>
      </c>
      <c r="G93" s="49">
        <f t="shared" si="7"/>
        <v>3.6399999999999997</v>
      </c>
      <c r="H93" s="48"/>
      <c r="I93" s="50">
        <v>0.15</v>
      </c>
      <c r="J93" s="51">
        <f t="shared" si="0"/>
        <v>3.7899999999999996</v>
      </c>
      <c r="K93" s="52">
        <f t="shared" si="1"/>
        <v>1.05</v>
      </c>
      <c r="L93" s="50">
        <f t="shared" si="2"/>
        <v>10.92</v>
      </c>
      <c r="M93" s="50">
        <f t="shared" si="8"/>
        <v>0</v>
      </c>
      <c r="N93" s="50">
        <f t="shared" si="3"/>
        <v>0.45</v>
      </c>
      <c r="O93" s="28">
        <f t="shared" si="4"/>
        <v>11.37</v>
      </c>
      <c r="P93" s="193"/>
      <c r="Q93" s="214"/>
      <c r="R93" s="214"/>
      <c r="S93" s="214"/>
      <c r="T93" s="214"/>
      <c r="U93" s="214"/>
      <c r="V93" s="214"/>
    </row>
    <row r="94" spans="1:22">
      <c r="A94" s="133" t="s">
        <v>89</v>
      </c>
      <c r="B94" s="139" t="s">
        <v>301</v>
      </c>
      <c r="C94" s="133" t="s">
        <v>81</v>
      </c>
      <c r="D94" s="238">
        <v>1</v>
      </c>
      <c r="E94" s="48">
        <v>6</v>
      </c>
      <c r="F94" s="48">
        <v>8</v>
      </c>
      <c r="G94" s="49">
        <f t="shared" si="7"/>
        <v>62.400000000000006</v>
      </c>
      <c r="H94" s="48">
        <v>69.95</v>
      </c>
      <c r="I94" s="50">
        <v>0.15</v>
      </c>
      <c r="J94" s="51">
        <f t="shared" si="0"/>
        <v>132.50000000000003</v>
      </c>
      <c r="K94" s="52">
        <f t="shared" si="1"/>
        <v>6</v>
      </c>
      <c r="L94" s="50">
        <f t="shared" si="2"/>
        <v>62.4</v>
      </c>
      <c r="M94" s="50">
        <f t="shared" si="8"/>
        <v>90.935000000000002</v>
      </c>
      <c r="N94" s="50">
        <f t="shared" si="3"/>
        <v>0.15</v>
      </c>
      <c r="O94" s="28">
        <f t="shared" si="4"/>
        <v>153.48500000000001</v>
      </c>
      <c r="P94" s="193"/>
      <c r="Q94" s="214"/>
      <c r="R94" s="214"/>
      <c r="S94" s="214"/>
      <c r="T94" s="214"/>
      <c r="U94" s="214"/>
      <c r="V94" s="214"/>
    </row>
    <row r="95" spans="1:22" ht="31.5">
      <c r="A95" s="133" t="s">
        <v>91</v>
      </c>
      <c r="B95" s="139" t="s">
        <v>302</v>
      </c>
      <c r="C95" s="133" t="s">
        <v>81</v>
      </c>
      <c r="D95" s="238">
        <v>151</v>
      </c>
      <c r="E95" s="48">
        <v>0.85</v>
      </c>
      <c r="F95" s="48">
        <v>8</v>
      </c>
      <c r="G95" s="49">
        <f t="shared" si="7"/>
        <v>8.84</v>
      </c>
      <c r="H95" s="48">
        <v>8.7200000000000006</v>
      </c>
      <c r="I95" s="50">
        <v>0.15</v>
      </c>
      <c r="J95" s="51">
        <f t="shared" si="0"/>
        <v>17.71</v>
      </c>
      <c r="K95" s="52">
        <f t="shared" si="1"/>
        <v>128.35</v>
      </c>
      <c r="L95" s="50">
        <f t="shared" si="2"/>
        <v>1334.84</v>
      </c>
      <c r="M95" s="50">
        <f t="shared" si="8"/>
        <v>1711.7360000000001</v>
      </c>
      <c r="N95" s="50">
        <f t="shared" si="3"/>
        <v>22.65</v>
      </c>
      <c r="O95" s="28">
        <f t="shared" si="4"/>
        <v>3069.2260000000001</v>
      </c>
      <c r="P95" s="193"/>
      <c r="Q95" s="214"/>
      <c r="R95" s="214"/>
      <c r="S95" s="214"/>
      <c r="T95" s="214"/>
      <c r="U95" s="214"/>
      <c r="V95" s="214"/>
    </row>
    <row r="96" spans="1:22" ht="31.5">
      <c r="A96" s="133" t="s">
        <v>93</v>
      </c>
      <c r="B96" s="139" t="s">
        <v>303</v>
      </c>
      <c r="C96" s="133" t="s">
        <v>81</v>
      </c>
      <c r="D96" s="238">
        <v>221</v>
      </c>
      <c r="E96" s="48">
        <v>0.85</v>
      </c>
      <c r="F96" s="48">
        <v>8</v>
      </c>
      <c r="G96" s="49">
        <f t="shared" si="7"/>
        <v>8.84</v>
      </c>
      <c r="H96" s="48">
        <v>18.2</v>
      </c>
      <c r="I96" s="50">
        <v>0.15</v>
      </c>
      <c r="J96" s="51">
        <f t="shared" si="0"/>
        <v>27.189999999999998</v>
      </c>
      <c r="K96" s="52">
        <f t="shared" si="1"/>
        <v>187.85</v>
      </c>
      <c r="L96" s="50">
        <f t="shared" si="2"/>
        <v>1953.64</v>
      </c>
      <c r="M96" s="50">
        <f t="shared" si="8"/>
        <v>5228.8599999999997</v>
      </c>
      <c r="N96" s="50">
        <f t="shared" si="3"/>
        <v>33.15</v>
      </c>
      <c r="O96" s="28">
        <f t="shared" si="4"/>
        <v>7215.65</v>
      </c>
      <c r="P96" s="193"/>
      <c r="Q96" s="214"/>
      <c r="R96" s="214"/>
      <c r="S96" s="214"/>
      <c r="T96" s="214"/>
      <c r="U96" s="214"/>
      <c r="V96" s="214"/>
    </row>
    <row r="97" spans="1:22" ht="31.5">
      <c r="A97" s="133" t="s">
        <v>95</v>
      </c>
      <c r="B97" s="139" t="s">
        <v>304</v>
      </c>
      <c r="C97" s="133" t="s">
        <v>81</v>
      </c>
      <c r="D97" s="238">
        <v>5</v>
      </c>
      <c r="E97" s="48">
        <v>0.85</v>
      </c>
      <c r="F97" s="48">
        <v>8</v>
      </c>
      <c r="G97" s="49">
        <f t="shared" si="7"/>
        <v>8.84</v>
      </c>
      <c r="H97" s="48">
        <v>17.14</v>
      </c>
      <c r="I97" s="50">
        <v>0.15</v>
      </c>
      <c r="J97" s="51">
        <f t="shared" si="0"/>
        <v>26.13</v>
      </c>
      <c r="K97" s="52">
        <f t="shared" si="1"/>
        <v>4.25</v>
      </c>
      <c r="L97" s="50">
        <f t="shared" si="2"/>
        <v>44.2</v>
      </c>
      <c r="M97" s="50">
        <f t="shared" si="8"/>
        <v>111.41000000000001</v>
      </c>
      <c r="N97" s="50">
        <f t="shared" si="3"/>
        <v>0.75</v>
      </c>
      <c r="O97" s="28">
        <f t="shared" si="4"/>
        <v>156.36000000000001</v>
      </c>
      <c r="P97" s="193"/>
      <c r="Q97" s="214"/>
      <c r="R97" s="214"/>
      <c r="S97" s="214"/>
      <c r="T97" s="214"/>
      <c r="U97" s="214"/>
      <c r="V97" s="214"/>
    </row>
    <row r="98" spans="1:22">
      <c r="A98" s="133" t="s">
        <v>97</v>
      </c>
      <c r="B98" s="139" t="s">
        <v>305</v>
      </c>
      <c r="C98" s="133" t="s">
        <v>81</v>
      </c>
      <c r="D98" s="238">
        <v>226</v>
      </c>
      <c r="E98" s="48">
        <v>0.85</v>
      </c>
      <c r="F98" s="48">
        <v>8</v>
      </c>
      <c r="G98" s="49">
        <f t="shared" si="7"/>
        <v>8.84</v>
      </c>
      <c r="H98" s="48">
        <v>1.4</v>
      </c>
      <c r="I98" s="50">
        <v>0.15</v>
      </c>
      <c r="J98" s="51">
        <f t="shared" si="0"/>
        <v>10.39</v>
      </c>
      <c r="K98" s="52">
        <f t="shared" si="1"/>
        <v>192.1</v>
      </c>
      <c r="L98" s="50">
        <f t="shared" si="2"/>
        <v>1997.84</v>
      </c>
      <c r="M98" s="50">
        <f t="shared" si="8"/>
        <v>411.32</v>
      </c>
      <c r="N98" s="50">
        <f t="shared" si="3"/>
        <v>33.9</v>
      </c>
      <c r="O98" s="28">
        <f t="shared" si="4"/>
        <v>2443.06</v>
      </c>
      <c r="P98" s="193"/>
      <c r="Q98" s="214"/>
      <c r="R98" s="214"/>
      <c r="S98" s="214"/>
      <c r="T98" s="214"/>
      <c r="U98" s="214"/>
      <c r="V98" s="214"/>
    </row>
    <row r="99" spans="1:22">
      <c r="A99" s="133" t="s">
        <v>99</v>
      </c>
      <c r="B99" s="139" t="s">
        <v>306</v>
      </c>
      <c r="C99" s="133" t="s">
        <v>81</v>
      </c>
      <c r="D99" s="238">
        <v>20</v>
      </c>
      <c r="E99" s="48">
        <v>0.9</v>
      </c>
      <c r="F99" s="48">
        <v>8</v>
      </c>
      <c r="G99" s="49">
        <f t="shared" si="7"/>
        <v>9.3600000000000012</v>
      </c>
      <c r="H99" s="48">
        <v>19.940000000000001</v>
      </c>
      <c r="I99" s="50">
        <v>0.15</v>
      </c>
      <c r="J99" s="51">
        <f t="shared" si="0"/>
        <v>29.450000000000003</v>
      </c>
      <c r="K99" s="52">
        <f t="shared" si="1"/>
        <v>18</v>
      </c>
      <c r="L99" s="50">
        <f t="shared" si="2"/>
        <v>187.2</v>
      </c>
      <c r="M99" s="50">
        <f t="shared" si="8"/>
        <v>518.44000000000005</v>
      </c>
      <c r="N99" s="50">
        <f t="shared" si="3"/>
        <v>3</v>
      </c>
      <c r="O99" s="28">
        <f t="shared" si="4"/>
        <v>708.6400000000001</v>
      </c>
      <c r="P99" s="193"/>
      <c r="Q99" s="214"/>
      <c r="R99" s="214"/>
      <c r="S99" s="214"/>
      <c r="T99" s="214"/>
      <c r="U99" s="214"/>
      <c r="V99" s="214"/>
    </row>
    <row r="100" spans="1:22">
      <c r="A100" s="133" t="s">
        <v>192</v>
      </c>
      <c r="B100" s="134" t="s">
        <v>307</v>
      </c>
      <c r="C100" s="133" t="s">
        <v>81</v>
      </c>
      <c r="D100" s="238">
        <v>20</v>
      </c>
      <c r="E100" s="48">
        <v>0.9</v>
      </c>
      <c r="F100" s="48">
        <v>8</v>
      </c>
      <c r="G100" s="49">
        <f t="shared" si="7"/>
        <v>9.3600000000000012</v>
      </c>
      <c r="H100" s="48">
        <v>1.1200000000000001</v>
      </c>
      <c r="I100" s="50">
        <v>0.15</v>
      </c>
      <c r="J100" s="51">
        <f t="shared" si="0"/>
        <v>10.63</v>
      </c>
      <c r="K100" s="52">
        <f t="shared" si="1"/>
        <v>18</v>
      </c>
      <c r="L100" s="50">
        <f t="shared" si="2"/>
        <v>187.2</v>
      </c>
      <c r="M100" s="50">
        <f t="shared" si="8"/>
        <v>29.119999999999997</v>
      </c>
      <c r="N100" s="50">
        <f t="shared" si="3"/>
        <v>3</v>
      </c>
      <c r="O100" s="28">
        <f t="shared" si="4"/>
        <v>219.32</v>
      </c>
      <c r="P100" s="193"/>
      <c r="Q100" s="214"/>
      <c r="R100" s="214"/>
      <c r="S100" s="214"/>
      <c r="T100" s="214"/>
      <c r="U100" s="214"/>
      <c r="V100" s="214"/>
    </row>
    <row r="101" spans="1:22" ht="31.5">
      <c r="A101" s="133" t="s">
        <v>194</v>
      </c>
      <c r="B101" s="137" t="s">
        <v>308</v>
      </c>
      <c r="C101" s="133" t="s">
        <v>81</v>
      </c>
      <c r="D101" s="238">
        <v>20</v>
      </c>
      <c r="E101" s="48">
        <v>0.45</v>
      </c>
      <c r="F101" s="48">
        <v>8</v>
      </c>
      <c r="G101" s="49">
        <f t="shared" si="7"/>
        <v>4.6800000000000006</v>
      </c>
      <c r="H101" s="48">
        <v>1.1200000000000001</v>
      </c>
      <c r="I101" s="50">
        <v>0.15</v>
      </c>
      <c r="J101" s="51">
        <f t="shared" si="0"/>
        <v>5.9500000000000011</v>
      </c>
      <c r="K101" s="52">
        <f t="shared" si="1"/>
        <v>9</v>
      </c>
      <c r="L101" s="50">
        <f t="shared" si="2"/>
        <v>93.6</v>
      </c>
      <c r="M101" s="50">
        <f t="shared" si="8"/>
        <v>29.119999999999997</v>
      </c>
      <c r="N101" s="50">
        <f t="shared" si="3"/>
        <v>3</v>
      </c>
      <c r="O101" s="28">
        <f t="shared" si="4"/>
        <v>125.72</v>
      </c>
      <c r="P101" s="193"/>
      <c r="Q101" s="214"/>
      <c r="R101" s="214"/>
      <c r="S101" s="214"/>
      <c r="T101" s="214"/>
      <c r="U101" s="214"/>
      <c r="V101" s="214"/>
    </row>
    <row r="102" spans="1:22">
      <c r="A102" s="133" t="s">
        <v>196</v>
      </c>
      <c r="B102" s="139" t="s">
        <v>309</v>
      </c>
      <c r="C102" s="133" t="s">
        <v>81</v>
      </c>
      <c r="D102" s="238">
        <v>5</v>
      </c>
      <c r="E102" s="48">
        <v>1.45</v>
      </c>
      <c r="F102" s="48">
        <v>8</v>
      </c>
      <c r="G102" s="49">
        <f t="shared" si="7"/>
        <v>15.08</v>
      </c>
      <c r="H102" s="48">
        <v>0.28999999999999998</v>
      </c>
      <c r="I102" s="50">
        <v>0.15</v>
      </c>
      <c r="J102" s="51">
        <f t="shared" si="0"/>
        <v>15.52</v>
      </c>
      <c r="K102" s="52">
        <f t="shared" si="1"/>
        <v>7.25</v>
      </c>
      <c r="L102" s="50">
        <f t="shared" si="2"/>
        <v>75.400000000000006</v>
      </c>
      <c r="M102" s="50">
        <f t="shared" si="8"/>
        <v>1.885</v>
      </c>
      <c r="N102" s="50">
        <f t="shared" si="3"/>
        <v>0.75</v>
      </c>
      <c r="O102" s="28">
        <f t="shared" si="4"/>
        <v>78.035000000000011</v>
      </c>
      <c r="P102" s="193"/>
      <c r="Q102" s="214"/>
      <c r="R102" s="214"/>
      <c r="S102" s="214"/>
      <c r="T102" s="214"/>
      <c r="U102" s="214"/>
      <c r="V102" s="214"/>
    </row>
    <row r="103" spans="1:22">
      <c r="A103" s="133" t="s">
        <v>198</v>
      </c>
      <c r="B103" s="139" t="s">
        <v>310</v>
      </c>
      <c r="C103" s="133" t="s">
        <v>81</v>
      </c>
      <c r="D103" s="238">
        <v>100</v>
      </c>
      <c r="E103" s="48">
        <v>1.05</v>
      </c>
      <c r="F103" s="48">
        <v>8</v>
      </c>
      <c r="G103" s="49">
        <f t="shared" si="7"/>
        <v>10.920000000000002</v>
      </c>
      <c r="H103" s="48">
        <v>0.48</v>
      </c>
      <c r="I103" s="50">
        <v>0.15</v>
      </c>
      <c r="J103" s="51">
        <f t="shared" si="0"/>
        <v>11.550000000000002</v>
      </c>
      <c r="K103" s="52">
        <f t="shared" si="1"/>
        <v>105</v>
      </c>
      <c r="L103" s="50">
        <f t="shared" si="2"/>
        <v>1092</v>
      </c>
      <c r="M103" s="50">
        <f t="shared" si="8"/>
        <v>62.400000000000006</v>
      </c>
      <c r="N103" s="50">
        <f t="shared" si="3"/>
        <v>15</v>
      </c>
      <c r="O103" s="28">
        <f t="shared" si="4"/>
        <v>1169.4000000000001</v>
      </c>
      <c r="P103" s="193"/>
      <c r="Q103" s="214"/>
      <c r="R103" s="214"/>
      <c r="S103" s="214"/>
      <c r="T103" s="214"/>
      <c r="U103" s="214"/>
      <c r="V103" s="214"/>
    </row>
    <row r="104" spans="1:22" ht="31.5">
      <c r="A104" s="133" t="s">
        <v>200</v>
      </c>
      <c r="B104" s="139" t="s">
        <v>311</v>
      </c>
      <c r="C104" s="133" t="s">
        <v>81</v>
      </c>
      <c r="D104" s="238">
        <v>18</v>
      </c>
      <c r="E104" s="48">
        <v>1.45</v>
      </c>
      <c r="F104" s="48">
        <v>8</v>
      </c>
      <c r="G104" s="49">
        <f t="shared" si="7"/>
        <v>15.08</v>
      </c>
      <c r="H104" s="48">
        <v>44.77</v>
      </c>
      <c r="I104" s="50">
        <v>0.15</v>
      </c>
      <c r="J104" s="51">
        <f t="shared" si="0"/>
        <v>60</v>
      </c>
      <c r="K104" s="52">
        <f t="shared" si="1"/>
        <v>26.1</v>
      </c>
      <c r="L104" s="50">
        <f t="shared" si="2"/>
        <v>271.44</v>
      </c>
      <c r="M104" s="50">
        <f t="shared" si="8"/>
        <v>1047.6180000000002</v>
      </c>
      <c r="N104" s="50">
        <f t="shared" si="3"/>
        <v>2.7</v>
      </c>
      <c r="O104" s="28">
        <f t="shared" si="4"/>
        <v>1321.7580000000003</v>
      </c>
      <c r="P104" s="193"/>
      <c r="Q104" s="214"/>
      <c r="R104" s="214"/>
      <c r="S104" s="214"/>
      <c r="T104" s="214"/>
      <c r="U104" s="214"/>
      <c r="V104" s="214"/>
    </row>
    <row r="105" spans="1:22">
      <c r="A105" s="133" t="s">
        <v>202</v>
      </c>
      <c r="B105" s="139" t="s">
        <v>312</v>
      </c>
      <c r="C105" s="133" t="s">
        <v>81</v>
      </c>
      <c r="D105" s="238">
        <v>4</v>
      </c>
      <c r="E105" s="48">
        <v>1.25</v>
      </c>
      <c r="F105" s="48">
        <v>8</v>
      </c>
      <c r="G105" s="49">
        <f t="shared" si="7"/>
        <v>13</v>
      </c>
      <c r="H105" s="48">
        <v>32.18</v>
      </c>
      <c r="I105" s="50">
        <v>0.15</v>
      </c>
      <c r="J105" s="51">
        <f t="shared" si="0"/>
        <v>45.33</v>
      </c>
      <c r="K105" s="52">
        <f t="shared" si="1"/>
        <v>5</v>
      </c>
      <c r="L105" s="50">
        <f t="shared" si="2"/>
        <v>52</v>
      </c>
      <c r="M105" s="50">
        <f t="shared" si="8"/>
        <v>167.33600000000001</v>
      </c>
      <c r="N105" s="50">
        <f t="shared" si="3"/>
        <v>0.6</v>
      </c>
      <c r="O105" s="28">
        <f t="shared" si="4"/>
        <v>219.93600000000001</v>
      </c>
      <c r="P105" s="193"/>
      <c r="Q105" s="214"/>
      <c r="R105" s="214"/>
      <c r="S105" s="214"/>
      <c r="T105" s="214"/>
      <c r="U105" s="214"/>
      <c r="V105" s="214"/>
    </row>
    <row r="106" spans="1:22" ht="31.5">
      <c r="A106" s="133" t="s">
        <v>204</v>
      </c>
      <c r="B106" s="139" t="s">
        <v>313</v>
      </c>
      <c r="C106" s="133" t="s">
        <v>81</v>
      </c>
      <c r="D106" s="238">
        <v>25</v>
      </c>
      <c r="E106" s="48">
        <v>0.95</v>
      </c>
      <c r="F106" s="48">
        <v>8</v>
      </c>
      <c r="G106" s="49">
        <f t="shared" si="7"/>
        <v>9.879999999999999</v>
      </c>
      <c r="H106" s="48">
        <v>22.73</v>
      </c>
      <c r="I106" s="50">
        <v>0.15</v>
      </c>
      <c r="J106" s="51">
        <f t="shared" si="0"/>
        <v>32.76</v>
      </c>
      <c r="K106" s="52">
        <f t="shared" si="1"/>
        <v>23.75</v>
      </c>
      <c r="L106" s="50">
        <f t="shared" si="2"/>
        <v>247</v>
      </c>
      <c r="M106" s="50">
        <f t="shared" si="8"/>
        <v>738.72500000000002</v>
      </c>
      <c r="N106" s="50">
        <f t="shared" si="3"/>
        <v>3.75</v>
      </c>
      <c r="O106" s="28">
        <f t="shared" si="4"/>
        <v>989.47500000000002</v>
      </c>
      <c r="P106" s="193"/>
      <c r="Q106" s="214"/>
      <c r="R106" s="214"/>
      <c r="S106" s="214"/>
      <c r="T106" s="214"/>
      <c r="U106" s="214"/>
      <c r="V106" s="214"/>
    </row>
    <row r="107" spans="1:22">
      <c r="A107" s="133" t="s">
        <v>206</v>
      </c>
      <c r="B107" s="139" t="s">
        <v>314</v>
      </c>
      <c r="C107" s="133" t="s">
        <v>81</v>
      </c>
      <c r="D107" s="238">
        <v>4</v>
      </c>
      <c r="E107" s="48">
        <v>0.6</v>
      </c>
      <c r="F107" s="48">
        <v>8</v>
      </c>
      <c r="G107" s="49">
        <f t="shared" si="7"/>
        <v>6.24</v>
      </c>
      <c r="H107" s="48">
        <v>6.17</v>
      </c>
      <c r="I107" s="50">
        <v>0.15</v>
      </c>
      <c r="J107" s="51">
        <f t="shared" si="0"/>
        <v>12.56</v>
      </c>
      <c r="K107" s="52">
        <f t="shared" si="1"/>
        <v>2.4</v>
      </c>
      <c r="L107" s="50">
        <f t="shared" si="2"/>
        <v>24.96</v>
      </c>
      <c r="M107" s="50">
        <f t="shared" si="8"/>
        <v>32.084000000000003</v>
      </c>
      <c r="N107" s="50">
        <f t="shared" si="3"/>
        <v>0.6</v>
      </c>
      <c r="O107" s="28">
        <f t="shared" si="4"/>
        <v>57.644000000000005</v>
      </c>
      <c r="P107" s="193"/>
      <c r="Q107" s="214"/>
      <c r="R107" s="214"/>
      <c r="S107" s="214"/>
      <c r="T107" s="214"/>
      <c r="U107" s="214"/>
      <c r="V107" s="214"/>
    </row>
    <row r="108" spans="1:22" ht="31.5">
      <c r="A108" s="133" t="s">
        <v>208</v>
      </c>
      <c r="B108" s="139" t="s">
        <v>315</v>
      </c>
      <c r="C108" s="133" t="s">
        <v>81</v>
      </c>
      <c r="D108" s="238">
        <v>1</v>
      </c>
      <c r="E108" s="48">
        <v>2.4500000000000002</v>
      </c>
      <c r="F108" s="48">
        <v>8</v>
      </c>
      <c r="G108" s="49">
        <f t="shared" si="7"/>
        <v>25.480000000000004</v>
      </c>
      <c r="H108" s="48">
        <v>36.01</v>
      </c>
      <c r="I108" s="50">
        <v>0.15</v>
      </c>
      <c r="J108" s="51">
        <f t="shared" si="0"/>
        <v>61.64</v>
      </c>
      <c r="K108" s="52">
        <f t="shared" si="1"/>
        <v>2.4500000000000002</v>
      </c>
      <c r="L108" s="50">
        <f t="shared" si="2"/>
        <v>25.48</v>
      </c>
      <c r="M108" s="50">
        <f t="shared" si="8"/>
        <v>46.813000000000002</v>
      </c>
      <c r="N108" s="50">
        <f t="shared" si="3"/>
        <v>0.15</v>
      </c>
      <c r="O108" s="28">
        <f t="shared" si="4"/>
        <v>72.443000000000012</v>
      </c>
      <c r="P108" s="193"/>
      <c r="Q108" s="214"/>
      <c r="R108" s="214"/>
      <c r="S108" s="214"/>
      <c r="T108" s="214"/>
      <c r="U108" s="214"/>
      <c r="V108" s="214"/>
    </row>
    <row r="109" spans="1:22">
      <c r="A109" s="133" t="s">
        <v>210</v>
      </c>
      <c r="B109" s="139" t="s">
        <v>316</v>
      </c>
      <c r="C109" s="133" t="s">
        <v>84</v>
      </c>
      <c r="D109" s="238">
        <v>1600</v>
      </c>
      <c r="E109" s="48">
        <v>0.35</v>
      </c>
      <c r="F109" s="48">
        <v>8</v>
      </c>
      <c r="G109" s="49">
        <f t="shared" si="7"/>
        <v>3.6399999999999997</v>
      </c>
      <c r="H109" s="48">
        <v>0.11</v>
      </c>
      <c r="I109" s="50">
        <v>0.15</v>
      </c>
      <c r="J109" s="51">
        <f t="shared" si="0"/>
        <v>3.8999999999999995</v>
      </c>
      <c r="K109" s="52">
        <f t="shared" si="1"/>
        <v>560</v>
      </c>
      <c r="L109" s="50">
        <f t="shared" si="2"/>
        <v>5824</v>
      </c>
      <c r="M109" s="50">
        <f t="shared" si="8"/>
        <v>228.8</v>
      </c>
      <c r="N109" s="50">
        <f t="shared" si="3"/>
        <v>240</v>
      </c>
      <c r="O109" s="28">
        <f t="shared" si="4"/>
        <v>6292.8</v>
      </c>
      <c r="P109" s="193"/>
      <c r="Q109" s="214"/>
      <c r="R109" s="214"/>
      <c r="S109" s="214"/>
      <c r="T109" s="214"/>
      <c r="U109" s="214"/>
      <c r="V109" s="214"/>
    </row>
    <row r="110" spans="1:22" ht="31.5">
      <c r="A110" s="133" t="s">
        <v>212</v>
      </c>
      <c r="B110" s="134" t="s">
        <v>317</v>
      </c>
      <c r="C110" s="133" t="s">
        <v>84</v>
      </c>
      <c r="D110" s="238">
        <v>1400</v>
      </c>
      <c r="E110" s="48">
        <v>0.35</v>
      </c>
      <c r="F110" s="48">
        <v>8</v>
      </c>
      <c r="G110" s="49">
        <f t="shared" si="7"/>
        <v>3.6399999999999997</v>
      </c>
      <c r="H110" s="48">
        <v>0.5</v>
      </c>
      <c r="I110" s="50">
        <v>0.15</v>
      </c>
      <c r="J110" s="51">
        <f t="shared" si="0"/>
        <v>4.29</v>
      </c>
      <c r="K110" s="52">
        <f t="shared" si="1"/>
        <v>490</v>
      </c>
      <c r="L110" s="50">
        <f t="shared" si="2"/>
        <v>5096</v>
      </c>
      <c r="M110" s="50">
        <f t="shared" si="8"/>
        <v>910</v>
      </c>
      <c r="N110" s="50">
        <f t="shared" si="3"/>
        <v>210</v>
      </c>
      <c r="O110" s="28">
        <f t="shared" si="4"/>
        <v>6216</v>
      </c>
      <c r="P110" s="193"/>
      <c r="Q110" s="214"/>
      <c r="R110" s="214"/>
      <c r="S110" s="214"/>
      <c r="T110" s="214"/>
      <c r="U110" s="214"/>
      <c r="V110" s="214"/>
    </row>
    <row r="111" spans="1:22" ht="31.5">
      <c r="A111" s="133" t="s">
        <v>214</v>
      </c>
      <c r="B111" s="137" t="s">
        <v>318</v>
      </c>
      <c r="C111" s="133" t="s">
        <v>84</v>
      </c>
      <c r="D111" s="238">
        <v>25</v>
      </c>
      <c r="E111" s="48">
        <v>0.35</v>
      </c>
      <c r="F111" s="48">
        <v>8</v>
      </c>
      <c r="G111" s="49">
        <f t="shared" si="7"/>
        <v>3.6399999999999997</v>
      </c>
      <c r="H111" s="48">
        <v>0.73</v>
      </c>
      <c r="I111" s="50">
        <v>0.15</v>
      </c>
      <c r="J111" s="51">
        <f t="shared" si="0"/>
        <v>4.5199999999999996</v>
      </c>
      <c r="K111" s="52">
        <f t="shared" si="1"/>
        <v>8.75</v>
      </c>
      <c r="L111" s="50">
        <f t="shared" si="2"/>
        <v>91</v>
      </c>
      <c r="M111" s="50">
        <f t="shared" si="8"/>
        <v>23.725000000000001</v>
      </c>
      <c r="N111" s="50">
        <f t="shared" si="3"/>
        <v>3.75</v>
      </c>
      <c r="O111" s="28">
        <f t="shared" si="4"/>
        <v>118.47499999999999</v>
      </c>
      <c r="P111" s="193"/>
      <c r="Q111" s="214"/>
      <c r="R111" s="214"/>
      <c r="S111" s="214"/>
      <c r="T111" s="214"/>
      <c r="U111" s="214"/>
      <c r="V111" s="214"/>
    </row>
    <row r="112" spans="1:22">
      <c r="A112" s="133" t="s">
        <v>216</v>
      </c>
      <c r="B112" s="139" t="s">
        <v>319</v>
      </c>
      <c r="C112" s="133" t="s">
        <v>84</v>
      </c>
      <c r="D112" s="238">
        <v>700</v>
      </c>
      <c r="E112" s="48">
        <v>0.3</v>
      </c>
      <c r="F112" s="48">
        <v>8</v>
      </c>
      <c r="G112" s="49">
        <f t="shared" si="7"/>
        <v>3.12</v>
      </c>
      <c r="H112" s="48">
        <v>0.27</v>
      </c>
      <c r="I112" s="50">
        <v>0.15</v>
      </c>
      <c r="J112" s="51">
        <f t="shared" si="0"/>
        <v>3.54</v>
      </c>
      <c r="K112" s="52">
        <f t="shared" si="1"/>
        <v>210</v>
      </c>
      <c r="L112" s="50">
        <f t="shared" si="2"/>
        <v>2184</v>
      </c>
      <c r="M112" s="50">
        <f t="shared" si="8"/>
        <v>245.70000000000002</v>
      </c>
      <c r="N112" s="50">
        <f t="shared" si="3"/>
        <v>105</v>
      </c>
      <c r="O112" s="28">
        <f t="shared" si="4"/>
        <v>2534.6999999999998</v>
      </c>
      <c r="P112" s="193"/>
      <c r="Q112" s="214"/>
      <c r="R112" s="214"/>
      <c r="S112" s="214"/>
      <c r="T112" s="214"/>
      <c r="U112" s="214"/>
      <c r="V112" s="214"/>
    </row>
    <row r="113" spans="1:22" ht="31.5">
      <c r="A113" s="133" t="s">
        <v>218</v>
      </c>
      <c r="B113" s="139" t="s">
        <v>320</v>
      </c>
      <c r="C113" s="135" t="s">
        <v>81</v>
      </c>
      <c r="D113" s="238">
        <v>16</v>
      </c>
      <c r="E113" s="48">
        <v>0.6</v>
      </c>
      <c r="F113" s="48">
        <v>8</v>
      </c>
      <c r="G113" s="49">
        <f t="shared" si="7"/>
        <v>6.24</v>
      </c>
      <c r="H113" s="48">
        <v>0.35</v>
      </c>
      <c r="I113" s="50">
        <v>0.15</v>
      </c>
      <c r="J113" s="51">
        <f t="shared" si="0"/>
        <v>6.74</v>
      </c>
      <c r="K113" s="52">
        <f t="shared" si="1"/>
        <v>9.6</v>
      </c>
      <c r="L113" s="50">
        <f t="shared" si="2"/>
        <v>99.84</v>
      </c>
      <c r="M113" s="50">
        <f t="shared" si="8"/>
        <v>7.2799999999999994</v>
      </c>
      <c r="N113" s="50">
        <f t="shared" si="3"/>
        <v>2.4</v>
      </c>
      <c r="O113" s="28">
        <f t="shared" si="4"/>
        <v>109.52000000000001</v>
      </c>
      <c r="P113" s="193"/>
      <c r="Q113" s="214"/>
      <c r="R113" s="214"/>
      <c r="S113" s="214"/>
      <c r="T113" s="214"/>
      <c r="U113" s="214"/>
      <c r="V113" s="214"/>
    </row>
    <row r="114" spans="1:22" ht="31.5">
      <c r="A114" s="133" t="s">
        <v>220</v>
      </c>
      <c r="B114" s="139" t="s">
        <v>321</v>
      </c>
      <c r="C114" s="135" t="s">
        <v>105</v>
      </c>
      <c r="D114" s="238">
        <v>6</v>
      </c>
      <c r="E114" s="48">
        <v>1.25</v>
      </c>
      <c r="F114" s="48">
        <v>8</v>
      </c>
      <c r="G114" s="49">
        <f t="shared" si="7"/>
        <v>13</v>
      </c>
      <c r="H114" s="48">
        <v>22.7</v>
      </c>
      <c r="I114" s="50">
        <v>0.15</v>
      </c>
      <c r="J114" s="51">
        <f t="shared" si="0"/>
        <v>35.85</v>
      </c>
      <c r="K114" s="52">
        <f t="shared" si="1"/>
        <v>7.5</v>
      </c>
      <c r="L114" s="50">
        <f t="shared" si="2"/>
        <v>78</v>
      </c>
      <c r="M114" s="50">
        <f t="shared" si="8"/>
        <v>177.06</v>
      </c>
      <c r="N114" s="50">
        <f t="shared" si="3"/>
        <v>0.9</v>
      </c>
      <c r="O114" s="28">
        <f t="shared" si="4"/>
        <v>255.96</v>
      </c>
      <c r="P114" s="193"/>
      <c r="Q114" s="214"/>
      <c r="R114" s="214"/>
      <c r="S114" s="214"/>
      <c r="T114" s="214"/>
      <c r="U114" s="214"/>
      <c r="V114" s="214"/>
    </row>
    <row r="115" spans="1:22" ht="31.5">
      <c r="A115" s="133" t="s">
        <v>222</v>
      </c>
      <c r="B115" s="139" t="s">
        <v>322</v>
      </c>
      <c r="C115" s="135" t="s">
        <v>105</v>
      </c>
      <c r="D115" s="238">
        <v>1</v>
      </c>
      <c r="E115" s="48">
        <v>18</v>
      </c>
      <c r="F115" s="48">
        <v>8</v>
      </c>
      <c r="G115" s="49">
        <f t="shared" si="7"/>
        <v>187.20000000000002</v>
      </c>
      <c r="H115" s="48">
        <v>0</v>
      </c>
      <c r="I115" s="50">
        <v>0.15</v>
      </c>
      <c r="J115" s="51">
        <f t="shared" si="0"/>
        <v>187.35000000000002</v>
      </c>
      <c r="K115" s="52">
        <f t="shared" si="1"/>
        <v>18</v>
      </c>
      <c r="L115" s="50">
        <f t="shared" si="2"/>
        <v>187.2</v>
      </c>
      <c r="M115" s="50">
        <f t="shared" si="8"/>
        <v>0</v>
      </c>
      <c r="N115" s="50">
        <f t="shared" si="3"/>
        <v>0.15</v>
      </c>
      <c r="O115" s="28">
        <f t="shared" si="4"/>
        <v>187.35</v>
      </c>
      <c r="P115" s="193"/>
      <c r="Q115" s="214"/>
      <c r="R115" s="214"/>
      <c r="S115" s="214"/>
      <c r="T115" s="214"/>
      <c r="U115" s="214"/>
      <c r="V115" s="214"/>
    </row>
    <row r="116" spans="1:22">
      <c r="A116" s="71"/>
      <c r="B116" s="84" t="s">
        <v>323</v>
      </c>
      <c r="C116" s="71"/>
      <c r="D116" s="71"/>
      <c r="E116" s="71"/>
      <c r="F116" s="71"/>
      <c r="G116" s="43"/>
      <c r="H116" s="71"/>
      <c r="I116" s="71"/>
      <c r="J116" s="71"/>
      <c r="K116" s="71"/>
      <c r="L116" s="71"/>
      <c r="M116" s="44">
        <f t="shared" si="8"/>
        <v>0</v>
      </c>
      <c r="N116" s="71"/>
      <c r="O116" s="71"/>
      <c r="P116" s="193"/>
      <c r="Q116" s="214"/>
      <c r="R116" s="214"/>
      <c r="S116" s="214"/>
      <c r="T116" s="214"/>
      <c r="U116" s="214"/>
      <c r="V116" s="214"/>
    </row>
    <row r="117" spans="1:22">
      <c r="A117" s="133" t="s">
        <v>39</v>
      </c>
      <c r="B117" s="139" t="s">
        <v>324</v>
      </c>
      <c r="C117" s="133" t="s">
        <v>81</v>
      </c>
      <c r="D117" s="238">
        <v>1</v>
      </c>
      <c r="E117" s="48">
        <v>8</v>
      </c>
      <c r="F117" s="48">
        <v>8</v>
      </c>
      <c r="G117" s="49">
        <f t="shared" si="7"/>
        <v>83.2</v>
      </c>
      <c r="H117" s="48">
        <v>1091.55</v>
      </c>
      <c r="I117" s="50">
        <v>0.15</v>
      </c>
      <c r="J117" s="51">
        <f t="shared" si="0"/>
        <v>1174.9000000000001</v>
      </c>
      <c r="K117" s="52">
        <f t="shared" si="1"/>
        <v>8</v>
      </c>
      <c r="L117" s="50">
        <f t="shared" si="2"/>
        <v>83.2</v>
      </c>
      <c r="M117" s="50">
        <f t="shared" si="8"/>
        <v>1419.0150000000001</v>
      </c>
      <c r="N117" s="50">
        <f t="shared" si="3"/>
        <v>0.15</v>
      </c>
      <c r="O117" s="28">
        <f t="shared" si="4"/>
        <v>1502.3650000000002</v>
      </c>
      <c r="P117" s="193"/>
      <c r="Q117" s="214"/>
      <c r="R117" s="214"/>
      <c r="S117" s="214"/>
      <c r="T117" s="214"/>
      <c r="U117" s="214"/>
      <c r="V117" s="214"/>
    </row>
    <row r="118" spans="1:22">
      <c r="A118" s="133" t="s">
        <v>71</v>
      </c>
      <c r="B118" s="139" t="s">
        <v>325</v>
      </c>
      <c r="C118" s="133" t="s">
        <v>81</v>
      </c>
      <c r="D118" s="238">
        <v>3</v>
      </c>
      <c r="E118" s="48">
        <v>8</v>
      </c>
      <c r="F118" s="48">
        <v>8</v>
      </c>
      <c r="G118" s="49">
        <f t="shared" si="7"/>
        <v>83.2</v>
      </c>
      <c r="H118" s="48">
        <v>422.97</v>
      </c>
      <c r="I118" s="50">
        <v>0.15</v>
      </c>
      <c r="J118" s="51">
        <f t="shared" si="0"/>
        <v>506.32</v>
      </c>
      <c r="K118" s="52">
        <f t="shared" si="1"/>
        <v>24</v>
      </c>
      <c r="L118" s="50">
        <f t="shared" si="2"/>
        <v>249.6</v>
      </c>
      <c r="M118" s="50">
        <f t="shared" si="8"/>
        <v>1649.5830000000001</v>
      </c>
      <c r="N118" s="50">
        <f t="shared" si="3"/>
        <v>0.45</v>
      </c>
      <c r="O118" s="28">
        <f t="shared" si="4"/>
        <v>1899.633</v>
      </c>
      <c r="P118" s="193"/>
      <c r="Q118" s="214"/>
      <c r="R118" s="214"/>
      <c r="S118" s="214"/>
      <c r="T118" s="214"/>
      <c r="U118" s="214"/>
      <c r="V118" s="214"/>
    </row>
    <row r="119" spans="1:22">
      <c r="A119" s="133" t="s">
        <v>74</v>
      </c>
      <c r="B119" s="139" t="s">
        <v>326</v>
      </c>
      <c r="C119" s="133" t="s">
        <v>81</v>
      </c>
      <c r="D119" s="238">
        <v>1</v>
      </c>
      <c r="E119" s="48">
        <v>8</v>
      </c>
      <c r="F119" s="48">
        <v>8</v>
      </c>
      <c r="G119" s="49">
        <f t="shared" si="7"/>
        <v>83.2</v>
      </c>
      <c r="H119" s="48">
        <v>579.89</v>
      </c>
      <c r="I119" s="50">
        <v>0.15</v>
      </c>
      <c r="J119" s="51">
        <f t="shared" si="0"/>
        <v>663.24</v>
      </c>
      <c r="K119" s="52">
        <f t="shared" si="1"/>
        <v>8</v>
      </c>
      <c r="L119" s="50">
        <f t="shared" si="2"/>
        <v>83.2</v>
      </c>
      <c r="M119" s="50">
        <f t="shared" si="8"/>
        <v>753.85699999999997</v>
      </c>
      <c r="N119" s="50">
        <f t="shared" si="3"/>
        <v>0.15</v>
      </c>
      <c r="O119" s="28">
        <f t="shared" si="4"/>
        <v>837.20699999999999</v>
      </c>
      <c r="P119" s="193"/>
      <c r="Q119" s="214"/>
      <c r="R119" s="214"/>
      <c r="S119" s="214"/>
      <c r="T119" s="214"/>
      <c r="U119" s="214"/>
      <c r="V119" s="214"/>
    </row>
    <row r="120" spans="1:22" ht="31.5">
      <c r="A120" s="133" t="s">
        <v>77</v>
      </c>
      <c r="B120" s="139" t="s">
        <v>327</v>
      </c>
      <c r="C120" s="133" t="s">
        <v>81</v>
      </c>
      <c r="D120" s="238">
        <v>1</v>
      </c>
      <c r="E120" s="48">
        <v>0.45</v>
      </c>
      <c r="F120" s="48">
        <v>8</v>
      </c>
      <c r="G120" s="49">
        <f t="shared" si="7"/>
        <v>4.6800000000000006</v>
      </c>
      <c r="H120" s="48">
        <v>283.11</v>
      </c>
      <c r="I120" s="50">
        <v>0.15</v>
      </c>
      <c r="J120" s="51">
        <f t="shared" si="0"/>
        <v>287.94</v>
      </c>
      <c r="K120" s="52">
        <f t="shared" si="1"/>
        <v>0.45</v>
      </c>
      <c r="L120" s="50">
        <f t="shared" si="2"/>
        <v>4.68</v>
      </c>
      <c r="M120" s="50">
        <f t="shared" si="8"/>
        <v>368.04300000000001</v>
      </c>
      <c r="N120" s="50">
        <f t="shared" si="3"/>
        <v>0.15</v>
      </c>
      <c r="O120" s="28">
        <f t="shared" si="4"/>
        <v>372.87299999999999</v>
      </c>
      <c r="P120" s="193"/>
      <c r="Q120" s="214"/>
      <c r="R120" s="214"/>
      <c r="S120" s="214"/>
      <c r="T120" s="214"/>
      <c r="U120" s="214"/>
      <c r="V120" s="214"/>
    </row>
    <row r="121" spans="1:22">
      <c r="A121" s="133" t="s">
        <v>79</v>
      </c>
      <c r="B121" s="134" t="s">
        <v>328</v>
      </c>
      <c r="C121" s="133" t="s">
        <v>81</v>
      </c>
      <c r="D121" s="238">
        <v>2</v>
      </c>
      <c r="E121" s="48">
        <v>0.65</v>
      </c>
      <c r="F121" s="48">
        <v>8</v>
      </c>
      <c r="G121" s="49">
        <f t="shared" si="7"/>
        <v>6.7600000000000007</v>
      </c>
      <c r="H121" s="48">
        <v>184.81</v>
      </c>
      <c r="I121" s="50">
        <v>0.15</v>
      </c>
      <c r="J121" s="51">
        <f t="shared" si="0"/>
        <v>191.72</v>
      </c>
      <c r="K121" s="52">
        <f t="shared" si="1"/>
        <v>1.3</v>
      </c>
      <c r="L121" s="50">
        <f t="shared" si="2"/>
        <v>13.52</v>
      </c>
      <c r="M121" s="50">
        <f t="shared" si="8"/>
        <v>480.50600000000003</v>
      </c>
      <c r="N121" s="50">
        <f t="shared" si="3"/>
        <v>0.3</v>
      </c>
      <c r="O121" s="28">
        <f t="shared" si="4"/>
        <v>494.32600000000002</v>
      </c>
      <c r="P121" s="193"/>
      <c r="Q121" s="214"/>
      <c r="R121" s="214"/>
      <c r="S121" s="214"/>
      <c r="T121" s="214"/>
      <c r="U121" s="214"/>
      <c r="V121" s="214"/>
    </row>
    <row r="122" spans="1:22">
      <c r="A122" s="133" t="s">
        <v>82</v>
      </c>
      <c r="B122" s="137" t="s">
        <v>329</v>
      </c>
      <c r="C122" s="133" t="s">
        <v>81</v>
      </c>
      <c r="D122" s="238">
        <v>1</v>
      </c>
      <c r="E122" s="48">
        <v>0.9</v>
      </c>
      <c r="F122" s="48">
        <v>8</v>
      </c>
      <c r="G122" s="49">
        <f t="shared" si="7"/>
        <v>9.3600000000000012</v>
      </c>
      <c r="H122" s="48">
        <v>477.55</v>
      </c>
      <c r="I122" s="50">
        <v>0.15</v>
      </c>
      <c r="J122" s="51">
        <f t="shared" si="0"/>
        <v>487.06</v>
      </c>
      <c r="K122" s="52">
        <f t="shared" si="1"/>
        <v>0.9</v>
      </c>
      <c r="L122" s="50">
        <f t="shared" si="2"/>
        <v>9.36</v>
      </c>
      <c r="M122" s="50">
        <f t="shared" si="8"/>
        <v>620.81500000000005</v>
      </c>
      <c r="N122" s="50">
        <f t="shared" si="3"/>
        <v>0.15</v>
      </c>
      <c r="O122" s="28">
        <f t="shared" si="4"/>
        <v>630.32500000000005</v>
      </c>
      <c r="P122" s="193"/>
      <c r="Q122" s="214"/>
      <c r="R122" s="214"/>
      <c r="S122" s="214"/>
      <c r="T122" s="214"/>
      <c r="U122" s="214"/>
      <c r="V122" s="214"/>
    </row>
    <row r="123" spans="1:22">
      <c r="A123" s="133" t="s">
        <v>85</v>
      </c>
      <c r="B123" s="139" t="s">
        <v>330</v>
      </c>
      <c r="C123" s="133" t="s">
        <v>81</v>
      </c>
      <c r="D123" s="238">
        <v>1</v>
      </c>
      <c r="E123" s="48">
        <v>9.4499999999999993</v>
      </c>
      <c r="F123" s="48">
        <v>8</v>
      </c>
      <c r="G123" s="49">
        <f t="shared" si="7"/>
        <v>98.28</v>
      </c>
      <c r="H123" s="48">
        <v>283.02</v>
      </c>
      <c r="I123" s="50">
        <v>0.15</v>
      </c>
      <c r="J123" s="51">
        <f t="shared" si="0"/>
        <v>381.44999999999993</v>
      </c>
      <c r="K123" s="52">
        <f t="shared" si="1"/>
        <v>9.4499999999999993</v>
      </c>
      <c r="L123" s="50">
        <f t="shared" si="2"/>
        <v>98.28</v>
      </c>
      <c r="M123" s="50">
        <f t="shared" si="8"/>
        <v>367.92599999999999</v>
      </c>
      <c r="N123" s="50">
        <f t="shared" si="3"/>
        <v>0.15</v>
      </c>
      <c r="O123" s="28">
        <f t="shared" si="4"/>
        <v>466.35599999999999</v>
      </c>
      <c r="P123" s="193"/>
      <c r="Q123" s="214"/>
      <c r="R123" s="214"/>
      <c r="S123" s="214"/>
      <c r="T123" s="214"/>
      <c r="U123" s="214"/>
      <c r="V123" s="214"/>
    </row>
    <row r="124" spans="1:22">
      <c r="A124" s="133" t="s">
        <v>87</v>
      </c>
      <c r="B124" s="139" t="s">
        <v>331</v>
      </c>
      <c r="C124" s="135" t="s">
        <v>105</v>
      </c>
      <c r="D124" s="238">
        <v>1</v>
      </c>
      <c r="E124" s="48">
        <v>0.55000000000000004</v>
      </c>
      <c r="F124" s="48">
        <v>8</v>
      </c>
      <c r="G124" s="49">
        <f t="shared" si="7"/>
        <v>5.7200000000000006</v>
      </c>
      <c r="H124" s="48">
        <v>36.64</v>
      </c>
      <c r="I124" s="50">
        <v>0.15</v>
      </c>
      <c r="J124" s="51">
        <f t="shared" si="0"/>
        <v>42.51</v>
      </c>
      <c r="K124" s="52">
        <f t="shared" si="1"/>
        <v>0.55000000000000004</v>
      </c>
      <c r="L124" s="50">
        <f t="shared" si="2"/>
        <v>5.72</v>
      </c>
      <c r="M124" s="50">
        <f t="shared" si="8"/>
        <v>47.632000000000005</v>
      </c>
      <c r="N124" s="50">
        <f t="shared" si="3"/>
        <v>0.15</v>
      </c>
      <c r="O124" s="28">
        <f t="shared" si="4"/>
        <v>53.502000000000002</v>
      </c>
      <c r="P124" s="193"/>
      <c r="Q124" s="214"/>
      <c r="R124" s="214"/>
      <c r="S124" s="214"/>
      <c r="T124" s="214"/>
      <c r="U124" s="214"/>
      <c r="V124" s="214"/>
    </row>
    <row r="125" spans="1:22" ht="47.25">
      <c r="A125" s="133" t="s">
        <v>89</v>
      </c>
      <c r="B125" s="139" t="s">
        <v>332</v>
      </c>
      <c r="C125" s="135" t="s">
        <v>81</v>
      </c>
      <c r="D125" s="238">
        <v>145</v>
      </c>
      <c r="E125" s="48">
        <v>1.45</v>
      </c>
      <c r="F125" s="48">
        <v>8</v>
      </c>
      <c r="G125" s="49">
        <f t="shared" si="7"/>
        <v>15.08</v>
      </c>
      <c r="H125" s="48">
        <v>12.58</v>
      </c>
      <c r="I125" s="50">
        <v>0.15</v>
      </c>
      <c r="J125" s="51">
        <f t="shared" si="0"/>
        <v>27.81</v>
      </c>
      <c r="K125" s="52">
        <f t="shared" si="1"/>
        <v>210.25</v>
      </c>
      <c r="L125" s="50">
        <f t="shared" si="2"/>
        <v>2186.6</v>
      </c>
      <c r="M125" s="50">
        <f t="shared" si="8"/>
        <v>2371.33</v>
      </c>
      <c r="N125" s="50">
        <f t="shared" si="3"/>
        <v>21.75</v>
      </c>
      <c r="O125" s="28">
        <f t="shared" si="4"/>
        <v>4579.68</v>
      </c>
      <c r="P125" s="193"/>
      <c r="Q125" s="214"/>
      <c r="R125" s="214"/>
      <c r="S125" s="214"/>
      <c r="T125" s="214"/>
      <c r="U125" s="214"/>
      <c r="V125" s="214"/>
    </row>
    <row r="126" spans="1:22" ht="47.25">
      <c r="A126" s="133" t="s">
        <v>91</v>
      </c>
      <c r="B126" s="139" t="s">
        <v>333</v>
      </c>
      <c r="C126" s="135" t="s">
        <v>81</v>
      </c>
      <c r="D126" s="238">
        <v>56</v>
      </c>
      <c r="E126" s="48">
        <v>1.85</v>
      </c>
      <c r="F126" s="48">
        <v>8</v>
      </c>
      <c r="G126" s="49">
        <f t="shared" si="7"/>
        <v>19.240000000000002</v>
      </c>
      <c r="H126" s="48">
        <v>11.06</v>
      </c>
      <c r="I126" s="50">
        <v>0.15</v>
      </c>
      <c r="J126" s="51">
        <f t="shared" si="0"/>
        <v>30.450000000000003</v>
      </c>
      <c r="K126" s="52">
        <f t="shared" si="1"/>
        <v>103.6</v>
      </c>
      <c r="L126" s="50">
        <f t="shared" si="2"/>
        <v>1077.44</v>
      </c>
      <c r="M126" s="50">
        <f t="shared" si="8"/>
        <v>805.16800000000001</v>
      </c>
      <c r="N126" s="50">
        <f t="shared" si="3"/>
        <v>8.4</v>
      </c>
      <c r="O126" s="28">
        <f t="shared" si="4"/>
        <v>1891.0080000000003</v>
      </c>
      <c r="P126" s="193"/>
      <c r="Q126" s="214"/>
      <c r="R126" s="214"/>
      <c r="S126" s="214"/>
      <c r="T126" s="214"/>
      <c r="U126" s="214"/>
      <c r="V126" s="214"/>
    </row>
    <row r="127" spans="1:22" ht="31.5">
      <c r="A127" s="133" t="s">
        <v>93</v>
      </c>
      <c r="B127" s="139" t="s">
        <v>334</v>
      </c>
      <c r="C127" s="133" t="s">
        <v>81</v>
      </c>
      <c r="D127" s="238">
        <v>201</v>
      </c>
      <c r="E127" s="48">
        <v>0.65</v>
      </c>
      <c r="F127" s="48">
        <v>8</v>
      </c>
      <c r="G127" s="49">
        <f t="shared" si="7"/>
        <v>6.7600000000000007</v>
      </c>
      <c r="H127" s="48">
        <v>1.49</v>
      </c>
      <c r="I127" s="50">
        <v>0.15</v>
      </c>
      <c r="J127" s="51">
        <f t="shared" si="0"/>
        <v>8.4</v>
      </c>
      <c r="K127" s="52">
        <f t="shared" si="1"/>
        <v>130.65</v>
      </c>
      <c r="L127" s="50">
        <f t="shared" si="2"/>
        <v>1358.76</v>
      </c>
      <c r="M127" s="50">
        <f t="shared" si="8"/>
        <v>389.33700000000005</v>
      </c>
      <c r="N127" s="50">
        <f t="shared" si="3"/>
        <v>30.15</v>
      </c>
      <c r="O127" s="28">
        <f t="shared" si="4"/>
        <v>1778.2470000000001</v>
      </c>
      <c r="P127" s="193"/>
      <c r="Q127" s="214"/>
      <c r="R127" s="214"/>
      <c r="S127" s="214"/>
      <c r="T127" s="214"/>
      <c r="U127" s="214"/>
      <c r="V127" s="214"/>
    </row>
    <row r="128" spans="1:22" ht="31.5">
      <c r="A128" s="133" t="s">
        <v>95</v>
      </c>
      <c r="B128" s="139" t="s">
        <v>335</v>
      </c>
      <c r="C128" s="133" t="s">
        <v>84</v>
      </c>
      <c r="D128" s="238">
        <v>2900</v>
      </c>
      <c r="E128" s="48">
        <v>0.35</v>
      </c>
      <c r="F128" s="48">
        <v>8</v>
      </c>
      <c r="G128" s="49">
        <f t="shared" si="7"/>
        <v>3.6399999999999997</v>
      </c>
      <c r="H128" s="48">
        <v>0.59</v>
      </c>
      <c r="I128" s="50">
        <v>0.15</v>
      </c>
      <c r="J128" s="51">
        <f t="shared" si="0"/>
        <v>4.38</v>
      </c>
      <c r="K128" s="52">
        <f t="shared" si="1"/>
        <v>1015</v>
      </c>
      <c r="L128" s="50">
        <f t="shared" si="2"/>
        <v>10556</v>
      </c>
      <c r="M128" s="50">
        <f t="shared" si="8"/>
        <v>2224.3000000000002</v>
      </c>
      <c r="N128" s="50">
        <f t="shared" si="3"/>
        <v>435</v>
      </c>
      <c r="O128" s="28">
        <f t="shared" si="4"/>
        <v>13215.3</v>
      </c>
      <c r="P128" s="193"/>
      <c r="Q128" s="214"/>
      <c r="R128" s="214"/>
      <c r="S128" s="214"/>
      <c r="T128" s="214"/>
      <c r="U128" s="214"/>
      <c r="V128" s="214"/>
    </row>
    <row r="129" spans="1:22" ht="31.5">
      <c r="A129" s="133" t="s">
        <v>97</v>
      </c>
      <c r="B129" s="139" t="s">
        <v>336</v>
      </c>
      <c r="C129" s="133" t="s">
        <v>84</v>
      </c>
      <c r="D129" s="238">
        <v>35</v>
      </c>
      <c r="E129" s="48">
        <v>0.35</v>
      </c>
      <c r="F129" s="48">
        <v>8</v>
      </c>
      <c r="G129" s="49">
        <f t="shared" si="7"/>
        <v>3.6399999999999997</v>
      </c>
      <c r="H129" s="48">
        <v>0.86</v>
      </c>
      <c r="I129" s="50">
        <v>0.15</v>
      </c>
      <c r="J129" s="51">
        <f t="shared" si="0"/>
        <v>4.6500000000000004</v>
      </c>
      <c r="K129" s="52">
        <f t="shared" si="1"/>
        <v>12.25</v>
      </c>
      <c r="L129" s="50">
        <f t="shared" si="2"/>
        <v>127.4</v>
      </c>
      <c r="M129" s="50">
        <f t="shared" si="8"/>
        <v>39.130000000000003</v>
      </c>
      <c r="N129" s="50">
        <f t="shared" si="3"/>
        <v>5.25</v>
      </c>
      <c r="O129" s="28">
        <f t="shared" si="4"/>
        <v>171.78</v>
      </c>
      <c r="P129" s="193"/>
      <c r="Q129" s="214"/>
      <c r="R129" s="214"/>
      <c r="S129" s="214"/>
      <c r="T129" s="214"/>
      <c r="U129" s="214"/>
      <c r="V129" s="214"/>
    </row>
    <row r="130" spans="1:22">
      <c r="A130" s="133" t="s">
        <v>99</v>
      </c>
      <c r="B130" s="139" t="s">
        <v>337</v>
      </c>
      <c r="C130" s="133" t="s">
        <v>84</v>
      </c>
      <c r="D130" s="238">
        <v>80</v>
      </c>
      <c r="E130" s="48">
        <v>0.35</v>
      </c>
      <c r="F130" s="48">
        <v>8</v>
      </c>
      <c r="G130" s="49">
        <f t="shared" si="7"/>
        <v>3.6399999999999997</v>
      </c>
      <c r="H130" s="48">
        <v>0.13</v>
      </c>
      <c r="I130" s="50">
        <v>0.15</v>
      </c>
      <c r="J130" s="51">
        <f t="shared" si="0"/>
        <v>3.9199999999999995</v>
      </c>
      <c r="K130" s="52">
        <f t="shared" si="1"/>
        <v>28</v>
      </c>
      <c r="L130" s="50">
        <f t="shared" si="2"/>
        <v>291.2</v>
      </c>
      <c r="M130" s="50">
        <f t="shared" si="8"/>
        <v>13.520000000000001</v>
      </c>
      <c r="N130" s="50">
        <f t="shared" si="3"/>
        <v>12</v>
      </c>
      <c r="O130" s="28">
        <f t="shared" si="4"/>
        <v>316.71999999999997</v>
      </c>
      <c r="P130" s="193"/>
      <c r="Q130" s="214"/>
      <c r="R130" s="214"/>
      <c r="S130" s="214"/>
      <c r="T130" s="214"/>
      <c r="U130" s="214"/>
      <c r="V130" s="214"/>
    </row>
    <row r="131" spans="1:22">
      <c r="A131" s="133" t="s">
        <v>192</v>
      </c>
      <c r="B131" s="139" t="s">
        <v>338</v>
      </c>
      <c r="C131" s="133" t="s">
        <v>105</v>
      </c>
      <c r="D131" s="238">
        <v>1</v>
      </c>
      <c r="E131" s="48">
        <v>20</v>
      </c>
      <c r="F131" s="48">
        <v>8</v>
      </c>
      <c r="G131" s="49">
        <f t="shared" si="7"/>
        <v>208</v>
      </c>
      <c r="H131" s="48">
        <v>15.84</v>
      </c>
      <c r="I131" s="50">
        <v>0.15</v>
      </c>
      <c r="J131" s="51">
        <f t="shared" si="0"/>
        <v>223.99</v>
      </c>
      <c r="K131" s="52">
        <f t="shared" si="1"/>
        <v>20</v>
      </c>
      <c r="L131" s="50">
        <f t="shared" si="2"/>
        <v>208</v>
      </c>
      <c r="M131" s="50">
        <f t="shared" si="8"/>
        <v>20.591999999999999</v>
      </c>
      <c r="N131" s="50">
        <f t="shared" si="3"/>
        <v>0.15</v>
      </c>
      <c r="O131" s="28">
        <f t="shared" si="4"/>
        <v>228.74199999999999</v>
      </c>
      <c r="P131" s="193"/>
      <c r="Q131" s="214"/>
      <c r="R131" s="214"/>
      <c r="S131" s="214"/>
      <c r="T131" s="214"/>
      <c r="U131" s="214"/>
      <c r="V131" s="214"/>
    </row>
    <row r="132" spans="1:22" ht="31.5">
      <c r="A132" s="133" t="s">
        <v>194</v>
      </c>
      <c r="B132" s="139" t="s">
        <v>339</v>
      </c>
      <c r="C132" s="133" t="s">
        <v>81</v>
      </c>
      <c r="D132" s="238">
        <v>1</v>
      </c>
      <c r="E132" s="48">
        <v>0.9</v>
      </c>
      <c r="F132" s="48">
        <v>8</v>
      </c>
      <c r="G132" s="49">
        <f t="shared" si="7"/>
        <v>9.3600000000000012</v>
      </c>
      <c r="H132" s="48">
        <v>1118.33</v>
      </c>
      <c r="I132" s="50">
        <v>0.15</v>
      </c>
      <c r="J132" s="51">
        <f t="shared" si="0"/>
        <v>1127.8399999999999</v>
      </c>
      <c r="K132" s="52">
        <f t="shared" si="1"/>
        <v>0.9</v>
      </c>
      <c r="L132" s="50">
        <f t="shared" si="2"/>
        <v>9.36</v>
      </c>
      <c r="M132" s="50">
        <f t="shared" si="8"/>
        <v>1453.829</v>
      </c>
      <c r="N132" s="50">
        <f t="shared" si="3"/>
        <v>0.15</v>
      </c>
      <c r="O132" s="28">
        <f t="shared" si="4"/>
        <v>1463.3389999999999</v>
      </c>
      <c r="P132" s="193"/>
      <c r="Q132" s="214"/>
      <c r="R132" s="214"/>
      <c r="S132" s="214"/>
      <c r="T132" s="214"/>
      <c r="U132" s="214"/>
      <c r="V132" s="214"/>
    </row>
    <row r="133" spans="1:22">
      <c r="A133" s="133" t="s">
        <v>196</v>
      </c>
      <c r="B133" s="137" t="s">
        <v>340</v>
      </c>
      <c r="C133" s="135" t="s">
        <v>81</v>
      </c>
      <c r="D133" s="238">
        <v>2</v>
      </c>
      <c r="E133" s="48">
        <v>0.12</v>
      </c>
      <c r="F133" s="48">
        <v>8</v>
      </c>
      <c r="G133" s="49">
        <f t="shared" si="7"/>
        <v>1.248</v>
      </c>
      <c r="H133" s="48">
        <v>4.43</v>
      </c>
      <c r="I133" s="50">
        <v>0.15</v>
      </c>
      <c r="J133" s="51">
        <f t="shared" si="0"/>
        <v>5.8280000000000003</v>
      </c>
      <c r="K133" s="52">
        <f t="shared" si="1"/>
        <v>0.24</v>
      </c>
      <c r="L133" s="50">
        <f t="shared" si="2"/>
        <v>2.5</v>
      </c>
      <c r="M133" s="50">
        <f t="shared" si="8"/>
        <v>11.517999999999999</v>
      </c>
      <c r="N133" s="50">
        <f t="shared" si="3"/>
        <v>0.3</v>
      </c>
      <c r="O133" s="28">
        <f t="shared" si="4"/>
        <v>14.318</v>
      </c>
      <c r="P133" s="193"/>
      <c r="Q133" s="214"/>
      <c r="R133" s="214"/>
      <c r="S133" s="214"/>
      <c r="T133" s="214"/>
      <c r="U133" s="214"/>
      <c r="V133" s="214"/>
    </row>
    <row r="134" spans="1:22">
      <c r="A134" s="133" t="s">
        <v>198</v>
      </c>
      <c r="B134" s="139" t="s">
        <v>319</v>
      </c>
      <c r="C134" s="135" t="s">
        <v>84</v>
      </c>
      <c r="D134" s="238">
        <v>550</v>
      </c>
      <c r="E134" s="48">
        <v>0.25</v>
      </c>
      <c r="F134" s="48">
        <v>8</v>
      </c>
      <c r="G134" s="49">
        <f t="shared" si="7"/>
        <v>2.6</v>
      </c>
      <c r="H134" s="48">
        <v>0.32</v>
      </c>
      <c r="I134" s="50">
        <v>0.15</v>
      </c>
      <c r="J134" s="51">
        <f t="shared" si="0"/>
        <v>3.07</v>
      </c>
      <c r="K134" s="52">
        <f t="shared" si="1"/>
        <v>137.5</v>
      </c>
      <c r="L134" s="50">
        <f t="shared" si="2"/>
        <v>1430</v>
      </c>
      <c r="M134" s="50">
        <f t="shared" si="8"/>
        <v>228.8</v>
      </c>
      <c r="N134" s="50">
        <f t="shared" si="3"/>
        <v>82.5</v>
      </c>
      <c r="O134" s="28">
        <f t="shared" si="4"/>
        <v>1741.3</v>
      </c>
      <c r="P134" s="193"/>
      <c r="Q134" s="214"/>
      <c r="R134" s="214"/>
      <c r="S134" s="214"/>
      <c r="T134" s="214"/>
      <c r="U134" s="214"/>
      <c r="V134" s="214"/>
    </row>
    <row r="135" spans="1:22" ht="31.5">
      <c r="A135" s="133" t="s">
        <v>200</v>
      </c>
      <c r="B135" s="139" t="s">
        <v>320</v>
      </c>
      <c r="C135" s="135" t="s">
        <v>81</v>
      </c>
      <c r="D135" s="238">
        <v>22</v>
      </c>
      <c r="E135" s="48">
        <v>0.45</v>
      </c>
      <c r="F135" s="48">
        <v>8</v>
      </c>
      <c r="G135" s="49">
        <f t="shared" si="7"/>
        <v>4.6800000000000006</v>
      </c>
      <c r="H135" s="48">
        <v>2.78</v>
      </c>
      <c r="I135" s="50">
        <v>0.15</v>
      </c>
      <c r="J135" s="51">
        <f t="shared" si="0"/>
        <v>7.6100000000000012</v>
      </c>
      <c r="K135" s="52">
        <f t="shared" si="1"/>
        <v>9.9</v>
      </c>
      <c r="L135" s="50">
        <f t="shared" si="2"/>
        <v>102.96</v>
      </c>
      <c r="M135" s="50">
        <f t="shared" si="8"/>
        <v>79.507999999999996</v>
      </c>
      <c r="N135" s="50">
        <f t="shared" si="3"/>
        <v>3.3</v>
      </c>
      <c r="O135" s="28">
        <f t="shared" si="4"/>
        <v>185.768</v>
      </c>
      <c r="P135" s="193"/>
      <c r="Q135" s="214"/>
      <c r="R135" s="214"/>
      <c r="S135" s="214"/>
      <c r="T135" s="214"/>
      <c r="U135" s="214"/>
      <c r="V135" s="214"/>
    </row>
    <row r="136" spans="1:22">
      <c r="A136" s="133" t="s">
        <v>202</v>
      </c>
      <c r="B136" s="139" t="s">
        <v>341</v>
      </c>
      <c r="C136" s="133" t="s">
        <v>81</v>
      </c>
      <c r="D136" s="238">
        <v>2</v>
      </c>
      <c r="E136" s="48">
        <v>2.4500000000000002</v>
      </c>
      <c r="F136" s="48">
        <v>8</v>
      </c>
      <c r="G136" s="49">
        <f t="shared" si="7"/>
        <v>25.480000000000004</v>
      </c>
      <c r="H136" s="48">
        <v>26.75</v>
      </c>
      <c r="I136" s="50">
        <v>0.15</v>
      </c>
      <c r="J136" s="51">
        <f t="shared" si="0"/>
        <v>52.38</v>
      </c>
      <c r="K136" s="52">
        <f t="shared" si="1"/>
        <v>4.9000000000000004</v>
      </c>
      <c r="L136" s="50">
        <f t="shared" si="2"/>
        <v>50.96</v>
      </c>
      <c r="M136" s="50">
        <f t="shared" si="8"/>
        <v>69.55</v>
      </c>
      <c r="N136" s="50">
        <f t="shared" si="3"/>
        <v>0.3</v>
      </c>
      <c r="O136" s="28">
        <f t="shared" si="4"/>
        <v>120.80999999999999</v>
      </c>
      <c r="P136" s="193"/>
      <c r="Q136" s="214"/>
      <c r="R136" s="214"/>
      <c r="S136" s="214"/>
      <c r="T136" s="214"/>
      <c r="U136" s="214"/>
      <c r="V136" s="214"/>
    </row>
    <row r="137" spans="1:22" ht="31.5">
      <c r="A137" s="133" t="s">
        <v>204</v>
      </c>
      <c r="B137" s="134" t="s">
        <v>321</v>
      </c>
      <c r="C137" s="135" t="s">
        <v>105</v>
      </c>
      <c r="D137" s="238">
        <v>6</v>
      </c>
      <c r="E137" s="48">
        <v>2.6</v>
      </c>
      <c r="F137" s="48">
        <v>8</v>
      </c>
      <c r="G137" s="49">
        <f t="shared" si="7"/>
        <v>27.040000000000003</v>
      </c>
      <c r="H137" s="48">
        <v>65</v>
      </c>
      <c r="I137" s="50">
        <v>0.15</v>
      </c>
      <c r="J137" s="51">
        <f t="shared" si="0"/>
        <v>92.190000000000012</v>
      </c>
      <c r="K137" s="52">
        <f t="shared" si="1"/>
        <v>15.6</v>
      </c>
      <c r="L137" s="50">
        <f t="shared" si="2"/>
        <v>162.24</v>
      </c>
      <c r="M137" s="50">
        <f t="shared" si="8"/>
        <v>507</v>
      </c>
      <c r="N137" s="50">
        <f t="shared" si="3"/>
        <v>0.9</v>
      </c>
      <c r="O137" s="28">
        <f t="shared" si="4"/>
        <v>670.14</v>
      </c>
      <c r="P137" s="193"/>
      <c r="Q137" s="214"/>
      <c r="R137" s="214"/>
      <c r="S137" s="214"/>
      <c r="T137" s="214"/>
      <c r="U137" s="214"/>
      <c r="V137" s="214"/>
    </row>
    <row r="138" spans="1:22" ht="31.5">
      <c r="A138" s="133" t="s">
        <v>206</v>
      </c>
      <c r="B138" s="139" t="s">
        <v>342</v>
      </c>
      <c r="C138" s="135" t="s">
        <v>105</v>
      </c>
      <c r="D138" s="238">
        <v>1</v>
      </c>
      <c r="E138" s="48">
        <v>15</v>
      </c>
      <c r="F138" s="48">
        <v>8</v>
      </c>
      <c r="G138" s="49">
        <f t="shared" si="7"/>
        <v>156</v>
      </c>
      <c r="H138" s="48">
        <v>15</v>
      </c>
      <c r="I138" s="50">
        <v>0.15</v>
      </c>
      <c r="J138" s="51">
        <f t="shared" si="0"/>
        <v>171.15</v>
      </c>
      <c r="K138" s="52">
        <f t="shared" si="1"/>
        <v>15</v>
      </c>
      <c r="L138" s="50">
        <f t="shared" si="2"/>
        <v>156</v>
      </c>
      <c r="M138" s="50">
        <f t="shared" si="8"/>
        <v>19.5</v>
      </c>
      <c r="N138" s="50">
        <f t="shared" si="3"/>
        <v>0.15</v>
      </c>
      <c r="O138" s="28">
        <f t="shared" si="4"/>
        <v>175.65</v>
      </c>
      <c r="P138" s="193"/>
      <c r="Q138" s="214"/>
      <c r="R138" s="214"/>
      <c r="S138" s="214"/>
      <c r="T138" s="214"/>
      <c r="U138" s="214"/>
      <c r="V138" s="214"/>
    </row>
    <row r="139" spans="1:22">
      <c r="A139" s="71"/>
      <c r="B139" s="84" t="s">
        <v>343</v>
      </c>
      <c r="C139" s="71"/>
      <c r="D139" s="71"/>
      <c r="E139" s="71"/>
      <c r="F139" s="71"/>
      <c r="G139" s="43"/>
      <c r="H139" s="71"/>
      <c r="I139" s="71"/>
      <c r="J139" s="71"/>
      <c r="K139" s="71"/>
      <c r="L139" s="71"/>
      <c r="M139" s="44"/>
      <c r="N139" s="71"/>
      <c r="O139" s="71"/>
      <c r="P139" s="193"/>
      <c r="Q139" s="214"/>
      <c r="R139" s="214"/>
      <c r="S139" s="214"/>
      <c r="T139" s="214"/>
      <c r="U139" s="214"/>
      <c r="V139" s="214"/>
    </row>
    <row r="140" spans="1:22">
      <c r="A140" s="133" t="s">
        <v>39</v>
      </c>
      <c r="B140" s="139" t="s">
        <v>344</v>
      </c>
      <c r="C140" s="135" t="s">
        <v>81</v>
      </c>
      <c r="D140" s="238">
        <v>1</v>
      </c>
      <c r="E140" s="48">
        <v>12</v>
      </c>
      <c r="F140" s="48">
        <v>8</v>
      </c>
      <c r="G140" s="49">
        <f t="shared" si="7"/>
        <v>124.80000000000001</v>
      </c>
      <c r="H140" s="48">
        <v>43.28</v>
      </c>
      <c r="I140" s="50">
        <v>0.15</v>
      </c>
      <c r="J140" s="51">
        <f t="shared" si="0"/>
        <v>168.23000000000002</v>
      </c>
      <c r="K140" s="52">
        <f t="shared" si="1"/>
        <v>12</v>
      </c>
      <c r="L140" s="50">
        <f t="shared" si="2"/>
        <v>124.8</v>
      </c>
      <c r="M140" s="50">
        <f t="shared" si="8"/>
        <v>56.264000000000003</v>
      </c>
      <c r="N140" s="50">
        <f>ROUND(D140*I140,2)</f>
        <v>0.15</v>
      </c>
      <c r="O140" s="28">
        <f>SUM(L140:N140)</f>
        <v>181.214</v>
      </c>
      <c r="P140" s="193"/>
      <c r="Q140" s="214"/>
      <c r="R140" s="214"/>
      <c r="S140" s="214"/>
      <c r="T140" s="214"/>
      <c r="U140" s="214"/>
      <c r="V140" s="214"/>
    </row>
    <row r="141" spans="1:22">
      <c r="A141" s="133" t="s">
        <v>71</v>
      </c>
      <c r="B141" s="139" t="s">
        <v>345</v>
      </c>
      <c r="C141" s="135" t="s">
        <v>81</v>
      </c>
      <c r="D141" s="238">
        <v>2</v>
      </c>
      <c r="E141" s="48">
        <v>12</v>
      </c>
      <c r="F141" s="48">
        <v>8</v>
      </c>
      <c r="G141" s="49">
        <f t="shared" si="7"/>
        <v>124.80000000000001</v>
      </c>
      <c r="H141" s="48">
        <v>28.84</v>
      </c>
      <c r="I141" s="50">
        <v>0.15</v>
      </c>
      <c r="J141" s="51">
        <f t="shared" si="0"/>
        <v>153.79000000000002</v>
      </c>
      <c r="K141" s="52">
        <f t="shared" si="1"/>
        <v>24</v>
      </c>
      <c r="L141" s="50">
        <f t="shared" si="2"/>
        <v>249.6</v>
      </c>
      <c r="M141" s="50">
        <f t="shared" si="8"/>
        <v>74.984000000000009</v>
      </c>
      <c r="N141" s="50">
        <f>ROUND(D141*I141,2)</f>
        <v>0.3</v>
      </c>
      <c r="O141" s="28">
        <f>SUM(L141:N141)</f>
        <v>324.88400000000001</v>
      </c>
      <c r="P141" s="193"/>
      <c r="Q141" s="214"/>
      <c r="R141" s="214"/>
      <c r="S141" s="214"/>
      <c r="T141" s="214"/>
      <c r="U141" s="214"/>
      <c r="V141" s="214"/>
    </row>
    <row r="142" spans="1:22">
      <c r="A142" s="133" t="s">
        <v>74</v>
      </c>
      <c r="B142" s="139" t="s">
        <v>346</v>
      </c>
      <c r="C142" s="135" t="s">
        <v>81</v>
      </c>
      <c r="D142" s="238">
        <v>1</v>
      </c>
      <c r="E142" s="48">
        <v>0.8</v>
      </c>
      <c r="F142" s="48">
        <v>8</v>
      </c>
      <c r="G142" s="49">
        <f t="shared" si="7"/>
        <v>8.32</v>
      </c>
      <c r="H142" s="48">
        <v>4.79</v>
      </c>
      <c r="I142" s="50">
        <v>0.15</v>
      </c>
      <c r="J142" s="51">
        <f t="shared" si="0"/>
        <v>13.26</v>
      </c>
      <c r="K142" s="52">
        <f t="shared" si="1"/>
        <v>0.8</v>
      </c>
      <c r="L142" s="50">
        <f t="shared" si="2"/>
        <v>8.32</v>
      </c>
      <c r="M142" s="50">
        <f t="shared" si="8"/>
        <v>6.2270000000000003</v>
      </c>
      <c r="N142" s="50">
        <f>ROUND(D142*I142,2)</f>
        <v>0.15</v>
      </c>
      <c r="O142" s="28">
        <f>SUM(L142:N142)</f>
        <v>14.697000000000001</v>
      </c>
      <c r="P142" s="193"/>
      <c r="Q142" s="214"/>
      <c r="R142" s="214"/>
      <c r="S142" s="214"/>
      <c r="T142" s="214"/>
      <c r="U142" s="214"/>
      <c r="V142" s="214"/>
    </row>
    <row r="143" spans="1:22">
      <c r="A143" s="133" t="s">
        <v>77</v>
      </c>
      <c r="B143" s="139" t="s">
        <v>347</v>
      </c>
      <c r="C143" s="135" t="s">
        <v>81</v>
      </c>
      <c r="D143" s="238">
        <v>2</v>
      </c>
      <c r="E143" s="48">
        <v>0.8</v>
      </c>
      <c r="F143" s="48">
        <v>8</v>
      </c>
      <c r="G143" s="49">
        <f t="shared" si="7"/>
        <v>8.32</v>
      </c>
      <c r="H143" s="48">
        <v>6.72</v>
      </c>
      <c r="I143" s="50">
        <v>0.15</v>
      </c>
      <c r="J143" s="51">
        <f t="shared" si="0"/>
        <v>15.19</v>
      </c>
      <c r="K143" s="52">
        <f t="shared" si="1"/>
        <v>1.6</v>
      </c>
      <c r="L143" s="50">
        <f t="shared" si="2"/>
        <v>16.64</v>
      </c>
      <c r="M143" s="50">
        <f t="shared" si="8"/>
        <v>17.472000000000001</v>
      </c>
      <c r="N143" s="50">
        <f t="shared" si="3"/>
        <v>0.3</v>
      </c>
      <c r="O143" s="28">
        <f t="shared" si="4"/>
        <v>34.411999999999999</v>
      </c>
      <c r="P143" s="193"/>
      <c r="Q143" s="214"/>
      <c r="R143" s="214"/>
      <c r="S143" s="214"/>
      <c r="T143" s="214"/>
      <c r="U143" s="214"/>
      <c r="V143" s="214"/>
    </row>
    <row r="144" spans="1:22">
      <c r="A144" s="133" t="s">
        <v>79</v>
      </c>
      <c r="B144" s="137" t="s">
        <v>348</v>
      </c>
      <c r="C144" s="135" t="s">
        <v>81</v>
      </c>
      <c r="D144" s="238">
        <v>2</v>
      </c>
      <c r="E144" s="48">
        <v>0.8</v>
      </c>
      <c r="F144" s="48">
        <v>8</v>
      </c>
      <c r="G144" s="49">
        <f t="shared" si="7"/>
        <v>8.32</v>
      </c>
      <c r="H144" s="48">
        <v>4.3899999999999997</v>
      </c>
      <c r="I144" s="50">
        <v>0.15</v>
      </c>
      <c r="J144" s="51">
        <f t="shared" si="0"/>
        <v>12.860000000000001</v>
      </c>
      <c r="K144" s="52">
        <f t="shared" si="1"/>
        <v>1.6</v>
      </c>
      <c r="L144" s="50">
        <f t="shared" si="2"/>
        <v>16.64</v>
      </c>
      <c r="M144" s="50">
        <f t="shared" si="8"/>
        <v>11.414</v>
      </c>
      <c r="N144" s="50">
        <f t="shared" si="3"/>
        <v>0.3</v>
      </c>
      <c r="O144" s="28">
        <f t="shared" si="4"/>
        <v>28.354000000000003</v>
      </c>
      <c r="P144" s="193"/>
      <c r="Q144" s="214"/>
      <c r="R144" s="214"/>
      <c r="S144" s="214"/>
      <c r="T144" s="214"/>
      <c r="U144" s="214"/>
      <c r="V144" s="214"/>
    </row>
    <row r="145" spans="1:22">
      <c r="A145" s="133" t="s">
        <v>82</v>
      </c>
      <c r="B145" s="139" t="s">
        <v>349</v>
      </c>
      <c r="C145" s="135" t="s">
        <v>105</v>
      </c>
      <c r="D145" s="238">
        <v>2</v>
      </c>
      <c r="E145" s="48">
        <v>0.45</v>
      </c>
      <c r="F145" s="48">
        <v>8</v>
      </c>
      <c r="G145" s="49">
        <f t="shared" ref="G145:G169" si="9">ROUND(E145*F145,2)*1.3</f>
        <v>4.6800000000000006</v>
      </c>
      <c r="H145" s="48">
        <v>4.21</v>
      </c>
      <c r="I145" s="50">
        <v>0.15</v>
      </c>
      <c r="J145" s="51">
        <f t="shared" si="0"/>
        <v>9.0400000000000009</v>
      </c>
      <c r="K145" s="52">
        <f t="shared" si="1"/>
        <v>0.9</v>
      </c>
      <c r="L145" s="50">
        <f t="shared" si="2"/>
        <v>9.36</v>
      </c>
      <c r="M145" s="50">
        <f t="shared" ref="M145:M169" si="10">ROUND(D145*H145,2)*1.3</f>
        <v>10.946</v>
      </c>
      <c r="N145" s="50">
        <f t="shared" si="3"/>
        <v>0.3</v>
      </c>
      <c r="O145" s="28">
        <f t="shared" si="4"/>
        <v>20.605999999999998</v>
      </c>
      <c r="P145" s="193"/>
      <c r="Q145" s="214"/>
      <c r="R145" s="214"/>
      <c r="S145" s="214"/>
      <c r="T145" s="214"/>
      <c r="U145" s="214"/>
      <c r="V145" s="214"/>
    </row>
    <row r="146" spans="1:22">
      <c r="A146" s="133" t="s">
        <v>85</v>
      </c>
      <c r="B146" s="139" t="s">
        <v>350</v>
      </c>
      <c r="C146" s="135" t="s">
        <v>81</v>
      </c>
      <c r="D146" s="238">
        <v>2</v>
      </c>
      <c r="E146" s="48">
        <v>0.25</v>
      </c>
      <c r="F146" s="48">
        <v>8</v>
      </c>
      <c r="G146" s="49">
        <f t="shared" si="9"/>
        <v>2.6</v>
      </c>
      <c r="H146" s="48">
        <v>4.4800000000000004</v>
      </c>
      <c r="I146" s="50">
        <v>0.15</v>
      </c>
      <c r="J146" s="51">
        <f t="shared" si="0"/>
        <v>7.23</v>
      </c>
      <c r="K146" s="52">
        <f t="shared" si="1"/>
        <v>0.5</v>
      </c>
      <c r="L146" s="50">
        <f t="shared" si="2"/>
        <v>5.2</v>
      </c>
      <c r="M146" s="50">
        <f t="shared" si="10"/>
        <v>11.648000000000001</v>
      </c>
      <c r="N146" s="50">
        <f t="shared" si="3"/>
        <v>0.3</v>
      </c>
      <c r="O146" s="28">
        <f t="shared" si="4"/>
        <v>17.148000000000003</v>
      </c>
      <c r="P146" s="193"/>
      <c r="Q146" s="214"/>
      <c r="R146" s="214"/>
      <c r="S146" s="214"/>
      <c r="T146" s="214"/>
      <c r="U146" s="214"/>
      <c r="V146" s="214"/>
    </row>
    <row r="147" spans="1:22">
      <c r="A147" s="133" t="s">
        <v>87</v>
      </c>
      <c r="B147" s="139" t="s">
        <v>351</v>
      </c>
      <c r="C147" s="135" t="s">
        <v>81</v>
      </c>
      <c r="D147" s="238">
        <v>10</v>
      </c>
      <c r="E147" s="48">
        <v>0.65</v>
      </c>
      <c r="F147" s="48">
        <v>8</v>
      </c>
      <c r="G147" s="49">
        <f t="shared" si="9"/>
        <v>6.7600000000000007</v>
      </c>
      <c r="H147" s="48">
        <v>52.7</v>
      </c>
      <c r="I147" s="50">
        <v>0.15</v>
      </c>
      <c r="J147" s="51">
        <f t="shared" si="0"/>
        <v>59.61</v>
      </c>
      <c r="K147" s="52">
        <f t="shared" si="1"/>
        <v>6.5</v>
      </c>
      <c r="L147" s="50">
        <f t="shared" si="2"/>
        <v>67.599999999999994</v>
      </c>
      <c r="M147" s="50">
        <f t="shared" si="10"/>
        <v>685.1</v>
      </c>
      <c r="N147" s="50">
        <f t="shared" si="3"/>
        <v>1.5</v>
      </c>
      <c r="O147" s="28">
        <f t="shared" si="4"/>
        <v>754.2</v>
      </c>
      <c r="P147" s="193"/>
      <c r="Q147" s="214"/>
      <c r="R147" s="214"/>
      <c r="S147" s="214"/>
      <c r="T147" s="214"/>
      <c r="U147" s="214"/>
      <c r="V147" s="214"/>
    </row>
    <row r="148" spans="1:22">
      <c r="A148" s="133" t="s">
        <v>89</v>
      </c>
      <c r="B148" s="139" t="s">
        <v>352</v>
      </c>
      <c r="C148" s="135" t="s">
        <v>81</v>
      </c>
      <c r="D148" s="238">
        <v>3</v>
      </c>
      <c r="E148" s="48">
        <v>0.98</v>
      </c>
      <c r="F148" s="48">
        <v>8</v>
      </c>
      <c r="G148" s="49">
        <f t="shared" si="9"/>
        <v>10.192</v>
      </c>
      <c r="H148" s="48">
        <v>9.32</v>
      </c>
      <c r="I148" s="50">
        <v>0.15</v>
      </c>
      <c r="J148" s="51">
        <f t="shared" si="0"/>
        <v>19.661999999999999</v>
      </c>
      <c r="K148" s="52">
        <f t="shared" si="1"/>
        <v>2.94</v>
      </c>
      <c r="L148" s="50">
        <f t="shared" si="2"/>
        <v>30.58</v>
      </c>
      <c r="M148" s="50">
        <f t="shared" si="10"/>
        <v>36.347999999999999</v>
      </c>
      <c r="N148" s="50">
        <f t="shared" si="3"/>
        <v>0.45</v>
      </c>
      <c r="O148" s="28">
        <f t="shared" si="4"/>
        <v>67.378</v>
      </c>
      <c r="P148" s="193"/>
      <c r="Q148" s="214"/>
      <c r="R148" s="214"/>
      <c r="S148" s="214"/>
      <c r="T148" s="214"/>
      <c r="U148" s="214"/>
      <c r="V148" s="214"/>
    </row>
    <row r="149" spans="1:22" ht="31.5">
      <c r="A149" s="133" t="s">
        <v>91</v>
      </c>
      <c r="B149" s="139" t="s">
        <v>353</v>
      </c>
      <c r="C149" s="135" t="s">
        <v>81</v>
      </c>
      <c r="D149" s="238">
        <v>22</v>
      </c>
      <c r="E149" s="48">
        <v>0.98</v>
      </c>
      <c r="F149" s="48">
        <v>8</v>
      </c>
      <c r="G149" s="49">
        <f t="shared" si="9"/>
        <v>10.192</v>
      </c>
      <c r="H149" s="48">
        <v>14.21</v>
      </c>
      <c r="I149" s="50">
        <v>0.15</v>
      </c>
      <c r="J149" s="51">
        <f t="shared" si="0"/>
        <v>24.552</v>
      </c>
      <c r="K149" s="52">
        <f t="shared" si="1"/>
        <v>21.56</v>
      </c>
      <c r="L149" s="50">
        <f t="shared" si="2"/>
        <v>224.22</v>
      </c>
      <c r="M149" s="50">
        <f t="shared" si="10"/>
        <v>406.40600000000001</v>
      </c>
      <c r="N149" s="50">
        <f t="shared" si="3"/>
        <v>3.3</v>
      </c>
      <c r="O149" s="28">
        <f t="shared" si="4"/>
        <v>633.92599999999993</v>
      </c>
      <c r="P149" s="193"/>
      <c r="Q149" s="214"/>
      <c r="R149" s="214"/>
      <c r="S149" s="214"/>
      <c r="T149" s="214"/>
      <c r="U149" s="214"/>
      <c r="V149" s="214"/>
    </row>
    <row r="150" spans="1:22">
      <c r="A150" s="133" t="s">
        <v>93</v>
      </c>
      <c r="B150" s="139" t="s">
        <v>354</v>
      </c>
      <c r="C150" s="135" t="s">
        <v>81</v>
      </c>
      <c r="D150" s="238">
        <v>25</v>
      </c>
      <c r="E150" s="48">
        <v>0.45</v>
      </c>
      <c r="F150" s="48">
        <v>8</v>
      </c>
      <c r="G150" s="49">
        <f t="shared" si="9"/>
        <v>4.6800000000000006</v>
      </c>
      <c r="H150" s="48">
        <v>1.98</v>
      </c>
      <c r="I150" s="50">
        <v>0.15</v>
      </c>
      <c r="J150" s="51">
        <f t="shared" si="0"/>
        <v>6.8100000000000005</v>
      </c>
      <c r="K150" s="52">
        <f t="shared" si="1"/>
        <v>11.25</v>
      </c>
      <c r="L150" s="50">
        <f t="shared" si="2"/>
        <v>117</v>
      </c>
      <c r="M150" s="50">
        <f t="shared" si="10"/>
        <v>64.350000000000009</v>
      </c>
      <c r="N150" s="50">
        <f t="shared" si="3"/>
        <v>3.75</v>
      </c>
      <c r="O150" s="28">
        <f t="shared" si="4"/>
        <v>185.10000000000002</v>
      </c>
      <c r="P150" s="193"/>
      <c r="Q150" s="214"/>
      <c r="R150" s="214"/>
      <c r="S150" s="214"/>
      <c r="T150" s="214"/>
      <c r="U150" s="214"/>
      <c r="V150" s="214"/>
    </row>
    <row r="151" spans="1:22" ht="31.5">
      <c r="A151" s="133" t="s">
        <v>95</v>
      </c>
      <c r="B151" s="134" t="s">
        <v>355</v>
      </c>
      <c r="C151" s="135" t="s">
        <v>81</v>
      </c>
      <c r="D151" s="238">
        <v>17</v>
      </c>
      <c r="E151" s="48">
        <v>0.45</v>
      </c>
      <c r="F151" s="48">
        <v>8</v>
      </c>
      <c r="G151" s="49">
        <f t="shared" si="9"/>
        <v>4.6800000000000006</v>
      </c>
      <c r="H151" s="48">
        <v>0.73</v>
      </c>
      <c r="I151" s="50">
        <v>0.15</v>
      </c>
      <c r="J151" s="51">
        <f t="shared" si="0"/>
        <v>5.5600000000000005</v>
      </c>
      <c r="K151" s="52">
        <f t="shared" si="1"/>
        <v>7.65</v>
      </c>
      <c r="L151" s="50">
        <f t="shared" si="2"/>
        <v>79.56</v>
      </c>
      <c r="M151" s="50">
        <f t="shared" si="10"/>
        <v>16.132999999999999</v>
      </c>
      <c r="N151" s="50">
        <f t="shared" si="3"/>
        <v>2.5499999999999998</v>
      </c>
      <c r="O151" s="28">
        <f t="shared" si="4"/>
        <v>98.242999999999995</v>
      </c>
      <c r="P151" s="193"/>
      <c r="Q151" s="214"/>
      <c r="R151" s="214"/>
      <c r="S151" s="214"/>
      <c r="T151" s="214"/>
      <c r="U151" s="214"/>
      <c r="V151" s="214"/>
    </row>
    <row r="152" spans="1:22">
      <c r="A152" s="133" t="s">
        <v>97</v>
      </c>
      <c r="B152" s="137" t="s">
        <v>356</v>
      </c>
      <c r="C152" s="135" t="s">
        <v>81</v>
      </c>
      <c r="D152" s="238">
        <v>1</v>
      </c>
      <c r="E152" s="48">
        <v>1.45</v>
      </c>
      <c r="F152" s="48">
        <v>8</v>
      </c>
      <c r="G152" s="49">
        <f t="shared" si="9"/>
        <v>15.08</v>
      </c>
      <c r="H152" s="48">
        <v>15.31</v>
      </c>
      <c r="I152" s="50">
        <v>0.15</v>
      </c>
      <c r="J152" s="51">
        <f t="shared" si="0"/>
        <v>30.54</v>
      </c>
      <c r="K152" s="52">
        <f t="shared" si="1"/>
        <v>1.45</v>
      </c>
      <c r="L152" s="50">
        <f t="shared" si="2"/>
        <v>15.08</v>
      </c>
      <c r="M152" s="50">
        <f t="shared" si="10"/>
        <v>19.903000000000002</v>
      </c>
      <c r="N152" s="50">
        <f t="shared" si="3"/>
        <v>0.15</v>
      </c>
      <c r="O152" s="28">
        <f t="shared" si="4"/>
        <v>35.133000000000003</v>
      </c>
      <c r="P152" s="193"/>
      <c r="Q152" s="214"/>
      <c r="R152" s="214"/>
      <c r="S152" s="214"/>
      <c r="T152" s="214"/>
      <c r="U152" s="214"/>
      <c r="V152" s="214"/>
    </row>
    <row r="153" spans="1:22">
      <c r="A153" s="133" t="s">
        <v>99</v>
      </c>
      <c r="B153" s="139" t="s">
        <v>357</v>
      </c>
      <c r="C153" s="135" t="s">
        <v>84</v>
      </c>
      <c r="D153" s="238">
        <v>2300</v>
      </c>
      <c r="E153" s="48">
        <v>0.35</v>
      </c>
      <c r="F153" s="48">
        <v>8</v>
      </c>
      <c r="G153" s="49">
        <f t="shared" si="9"/>
        <v>3.6399999999999997</v>
      </c>
      <c r="H153" s="48">
        <v>0.11</v>
      </c>
      <c r="I153" s="50">
        <v>0.15</v>
      </c>
      <c r="J153" s="51">
        <f t="shared" si="0"/>
        <v>3.8999999999999995</v>
      </c>
      <c r="K153" s="52">
        <f t="shared" si="1"/>
        <v>805</v>
      </c>
      <c r="L153" s="50">
        <f t="shared" si="2"/>
        <v>8372</v>
      </c>
      <c r="M153" s="50">
        <f t="shared" si="10"/>
        <v>328.90000000000003</v>
      </c>
      <c r="N153" s="50">
        <f t="shared" si="3"/>
        <v>345</v>
      </c>
      <c r="O153" s="28">
        <f t="shared" si="4"/>
        <v>9045.9</v>
      </c>
      <c r="P153" s="193"/>
      <c r="Q153" s="214"/>
      <c r="R153" s="214"/>
      <c r="S153" s="214"/>
      <c r="T153" s="214"/>
      <c r="U153" s="214"/>
      <c r="V153" s="214"/>
    </row>
    <row r="154" spans="1:22">
      <c r="A154" s="133" t="s">
        <v>192</v>
      </c>
      <c r="B154" s="139" t="s">
        <v>358</v>
      </c>
      <c r="C154" s="135" t="s">
        <v>84</v>
      </c>
      <c r="D154" s="238">
        <v>30</v>
      </c>
      <c r="E154" s="48">
        <v>0.35</v>
      </c>
      <c r="F154" s="48">
        <v>8</v>
      </c>
      <c r="G154" s="49">
        <f t="shared" si="9"/>
        <v>3.6399999999999997</v>
      </c>
      <c r="H154" s="48">
        <v>0.27</v>
      </c>
      <c r="I154" s="50">
        <v>0.15</v>
      </c>
      <c r="J154" s="51">
        <f t="shared" si="0"/>
        <v>4.0599999999999996</v>
      </c>
      <c r="K154" s="52">
        <f t="shared" si="1"/>
        <v>10.5</v>
      </c>
      <c r="L154" s="50">
        <f t="shared" si="2"/>
        <v>109.2</v>
      </c>
      <c r="M154" s="50">
        <f t="shared" si="10"/>
        <v>10.53</v>
      </c>
      <c r="N154" s="50">
        <f t="shared" si="3"/>
        <v>4.5</v>
      </c>
      <c r="O154" s="28">
        <f t="shared" si="4"/>
        <v>124.23</v>
      </c>
      <c r="P154" s="193"/>
      <c r="Q154" s="214"/>
      <c r="R154" s="214"/>
      <c r="S154" s="214"/>
      <c r="T154" s="214"/>
      <c r="U154" s="214"/>
      <c r="V154" s="214"/>
    </row>
    <row r="155" spans="1:22">
      <c r="A155" s="133" t="s">
        <v>194</v>
      </c>
      <c r="B155" s="139" t="s">
        <v>359</v>
      </c>
      <c r="C155" s="135" t="s">
        <v>81</v>
      </c>
      <c r="D155" s="238">
        <v>1</v>
      </c>
      <c r="E155" s="48">
        <v>6.5</v>
      </c>
      <c r="F155" s="48">
        <v>8</v>
      </c>
      <c r="G155" s="49">
        <f t="shared" si="9"/>
        <v>67.600000000000009</v>
      </c>
      <c r="H155" s="48">
        <v>30.4</v>
      </c>
      <c r="I155" s="50">
        <v>0.15</v>
      </c>
      <c r="J155" s="51">
        <f t="shared" si="0"/>
        <v>98.15</v>
      </c>
      <c r="K155" s="52">
        <f t="shared" si="1"/>
        <v>6.5</v>
      </c>
      <c r="L155" s="50">
        <f t="shared" si="2"/>
        <v>67.599999999999994</v>
      </c>
      <c r="M155" s="50">
        <f t="shared" si="10"/>
        <v>39.519999999999996</v>
      </c>
      <c r="N155" s="50">
        <f t="shared" si="3"/>
        <v>0.15</v>
      </c>
      <c r="O155" s="28">
        <f t="shared" si="4"/>
        <v>107.27</v>
      </c>
      <c r="P155" s="193"/>
      <c r="Q155" s="214"/>
      <c r="R155" s="214"/>
      <c r="S155" s="214"/>
      <c r="T155" s="214"/>
      <c r="U155" s="214"/>
      <c r="V155" s="214"/>
    </row>
    <row r="156" spans="1:22">
      <c r="A156" s="133" t="s">
        <v>196</v>
      </c>
      <c r="B156" s="139" t="s">
        <v>360</v>
      </c>
      <c r="C156" s="135" t="s">
        <v>81</v>
      </c>
      <c r="D156" s="238">
        <v>1</v>
      </c>
      <c r="E156" s="48">
        <v>2.6</v>
      </c>
      <c r="F156" s="48">
        <v>8</v>
      </c>
      <c r="G156" s="49">
        <f t="shared" si="9"/>
        <v>27.040000000000003</v>
      </c>
      <c r="H156" s="48">
        <v>7.6</v>
      </c>
      <c r="I156" s="50">
        <v>0.15</v>
      </c>
      <c r="J156" s="51">
        <f t="shared" si="0"/>
        <v>34.79</v>
      </c>
      <c r="K156" s="52">
        <f t="shared" si="1"/>
        <v>2.6</v>
      </c>
      <c r="L156" s="50">
        <f t="shared" si="2"/>
        <v>27.04</v>
      </c>
      <c r="M156" s="50">
        <f t="shared" si="10"/>
        <v>9.879999999999999</v>
      </c>
      <c r="N156" s="50">
        <f t="shared" si="3"/>
        <v>0.15</v>
      </c>
      <c r="O156" s="28">
        <f t="shared" si="4"/>
        <v>37.07</v>
      </c>
      <c r="P156" s="193"/>
      <c r="Q156" s="214"/>
      <c r="R156" s="214"/>
      <c r="S156" s="214"/>
      <c r="T156" s="214"/>
      <c r="U156" s="214"/>
      <c r="V156" s="214"/>
    </row>
    <row r="157" spans="1:22">
      <c r="A157" s="133" t="s">
        <v>198</v>
      </c>
      <c r="B157" s="134" t="s">
        <v>361</v>
      </c>
      <c r="C157" s="135" t="s">
        <v>81</v>
      </c>
      <c r="D157" s="238">
        <v>1</v>
      </c>
      <c r="E157" s="48">
        <v>2.6</v>
      </c>
      <c r="F157" s="48">
        <v>8</v>
      </c>
      <c r="G157" s="49">
        <f t="shared" si="9"/>
        <v>27.040000000000003</v>
      </c>
      <c r="H157" s="48">
        <v>22.8</v>
      </c>
      <c r="I157" s="50">
        <v>0.15</v>
      </c>
      <c r="J157" s="51">
        <f t="shared" si="0"/>
        <v>49.99</v>
      </c>
      <c r="K157" s="52">
        <f t="shared" si="1"/>
        <v>2.6</v>
      </c>
      <c r="L157" s="50">
        <f t="shared" si="2"/>
        <v>27.04</v>
      </c>
      <c r="M157" s="50">
        <f t="shared" si="10"/>
        <v>29.64</v>
      </c>
      <c r="N157" s="50">
        <f t="shared" si="3"/>
        <v>0.15</v>
      </c>
      <c r="O157" s="28">
        <f t="shared" si="4"/>
        <v>56.83</v>
      </c>
      <c r="P157" s="193"/>
      <c r="Q157" s="214"/>
      <c r="R157" s="214"/>
      <c r="S157" s="214"/>
      <c r="T157" s="214"/>
      <c r="U157" s="214"/>
      <c r="V157" s="214"/>
    </row>
    <row r="158" spans="1:22">
      <c r="A158" s="133" t="s">
        <v>200</v>
      </c>
      <c r="B158" s="137" t="s">
        <v>362</v>
      </c>
      <c r="C158" s="135" t="s">
        <v>81</v>
      </c>
      <c r="D158" s="238">
        <v>1</v>
      </c>
      <c r="E158" s="48">
        <v>2.6</v>
      </c>
      <c r="F158" s="48">
        <v>8</v>
      </c>
      <c r="G158" s="49">
        <f t="shared" si="9"/>
        <v>27.040000000000003</v>
      </c>
      <c r="H158" s="48">
        <v>20.9</v>
      </c>
      <c r="I158" s="50">
        <v>0.15</v>
      </c>
      <c r="J158" s="51">
        <f t="shared" si="0"/>
        <v>48.089999999999996</v>
      </c>
      <c r="K158" s="52">
        <f t="shared" si="1"/>
        <v>2.6</v>
      </c>
      <c r="L158" s="50">
        <f t="shared" si="2"/>
        <v>27.04</v>
      </c>
      <c r="M158" s="50">
        <f t="shared" si="10"/>
        <v>27.169999999999998</v>
      </c>
      <c r="N158" s="50">
        <f t="shared" si="3"/>
        <v>0.15</v>
      </c>
      <c r="O158" s="28">
        <f t="shared" si="4"/>
        <v>54.359999999999992</v>
      </c>
      <c r="P158" s="193"/>
      <c r="Q158" s="214"/>
      <c r="R158" s="214"/>
      <c r="S158" s="214"/>
      <c r="T158" s="214"/>
      <c r="U158" s="214"/>
      <c r="V158" s="214"/>
    </row>
    <row r="159" spans="1:22">
      <c r="A159" s="133" t="s">
        <v>202</v>
      </c>
      <c r="B159" s="139" t="s">
        <v>363</v>
      </c>
      <c r="C159" s="135" t="s">
        <v>81</v>
      </c>
      <c r="D159" s="238">
        <v>1</v>
      </c>
      <c r="E159" s="48">
        <v>20</v>
      </c>
      <c r="F159" s="48">
        <v>8</v>
      </c>
      <c r="G159" s="49">
        <f t="shared" si="9"/>
        <v>208</v>
      </c>
      <c r="H159" s="48">
        <v>19.95</v>
      </c>
      <c r="I159" s="50">
        <v>0.15</v>
      </c>
      <c r="J159" s="51">
        <f t="shared" si="0"/>
        <v>228.1</v>
      </c>
      <c r="K159" s="52">
        <f t="shared" si="1"/>
        <v>20</v>
      </c>
      <c r="L159" s="50">
        <f t="shared" si="2"/>
        <v>208</v>
      </c>
      <c r="M159" s="50">
        <f t="shared" si="10"/>
        <v>25.934999999999999</v>
      </c>
      <c r="N159" s="50">
        <f t="shared" si="3"/>
        <v>0.15</v>
      </c>
      <c r="O159" s="28">
        <f t="shared" si="4"/>
        <v>234.08500000000001</v>
      </c>
      <c r="P159" s="193"/>
      <c r="Q159" s="214"/>
      <c r="R159" s="214"/>
      <c r="S159" s="214"/>
      <c r="T159" s="214"/>
      <c r="U159" s="214"/>
      <c r="V159" s="214"/>
    </row>
    <row r="160" spans="1:22">
      <c r="A160" s="133" t="s">
        <v>204</v>
      </c>
      <c r="B160" s="134" t="s">
        <v>364</v>
      </c>
      <c r="C160" s="135" t="s">
        <v>105</v>
      </c>
      <c r="D160" s="238">
        <v>2</v>
      </c>
      <c r="E160" s="48">
        <v>0.8</v>
      </c>
      <c r="F160" s="48">
        <v>8</v>
      </c>
      <c r="G160" s="49">
        <f t="shared" si="9"/>
        <v>8.32</v>
      </c>
      <c r="H160" s="48">
        <v>32.299999999999997</v>
      </c>
      <c r="I160" s="50">
        <v>0.15</v>
      </c>
      <c r="J160" s="51">
        <f t="shared" si="0"/>
        <v>40.769999999999996</v>
      </c>
      <c r="K160" s="52">
        <f t="shared" si="1"/>
        <v>1.6</v>
      </c>
      <c r="L160" s="50">
        <f t="shared" si="2"/>
        <v>16.64</v>
      </c>
      <c r="M160" s="50">
        <f t="shared" si="10"/>
        <v>83.97999999999999</v>
      </c>
      <c r="N160" s="50">
        <f t="shared" si="3"/>
        <v>0.3</v>
      </c>
      <c r="O160" s="28">
        <f t="shared" si="4"/>
        <v>100.91999999999999</v>
      </c>
      <c r="P160" s="193"/>
      <c r="Q160" s="214"/>
      <c r="R160" s="214"/>
      <c r="S160" s="214"/>
      <c r="T160" s="214"/>
      <c r="U160" s="214"/>
      <c r="V160" s="214"/>
    </row>
    <row r="161" spans="1:22">
      <c r="A161" s="133" t="s">
        <v>206</v>
      </c>
      <c r="B161" s="137" t="s">
        <v>365</v>
      </c>
      <c r="C161" s="135" t="s">
        <v>81</v>
      </c>
      <c r="D161" s="238">
        <v>1</v>
      </c>
      <c r="E161" s="48">
        <v>0.65</v>
      </c>
      <c r="F161" s="48">
        <v>8</v>
      </c>
      <c r="G161" s="49">
        <f t="shared" si="9"/>
        <v>6.7600000000000007</v>
      </c>
      <c r="H161" s="48">
        <v>1.1399999999999999</v>
      </c>
      <c r="I161" s="50">
        <v>0.15</v>
      </c>
      <c r="J161" s="51">
        <f t="shared" si="0"/>
        <v>8.0500000000000007</v>
      </c>
      <c r="K161" s="52">
        <f t="shared" si="1"/>
        <v>0.65</v>
      </c>
      <c r="L161" s="50">
        <f t="shared" si="2"/>
        <v>6.76</v>
      </c>
      <c r="M161" s="50">
        <f t="shared" si="10"/>
        <v>1.482</v>
      </c>
      <c r="N161" s="50">
        <f t="shared" si="3"/>
        <v>0.15</v>
      </c>
      <c r="O161" s="28">
        <f t="shared" si="4"/>
        <v>8.3919999999999995</v>
      </c>
      <c r="P161" s="193"/>
      <c r="Q161" s="214"/>
      <c r="R161" s="214"/>
      <c r="S161" s="214"/>
      <c r="T161" s="214"/>
      <c r="U161" s="214"/>
      <c r="V161" s="214"/>
    </row>
    <row r="162" spans="1:22">
      <c r="A162" s="133" t="s">
        <v>208</v>
      </c>
      <c r="B162" s="139" t="s">
        <v>366</v>
      </c>
      <c r="C162" s="135" t="s">
        <v>81</v>
      </c>
      <c r="D162" s="238">
        <v>3</v>
      </c>
      <c r="E162" s="48">
        <v>0.65</v>
      </c>
      <c r="F162" s="48">
        <v>8</v>
      </c>
      <c r="G162" s="49">
        <f t="shared" si="9"/>
        <v>6.7600000000000007</v>
      </c>
      <c r="H162" s="48">
        <v>1.62</v>
      </c>
      <c r="I162" s="50">
        <v>0.15</v>
      </c>
      <c r="J162" s="51">
        <f t="shared" si="0"/>
        <v>8.5300000000000011</v>
      </c>
      <c r="K162" s="52">
        <f t="shared" si="1"/>
        <v>1.95</v>
      </c>
      <c r="L162" s="50">
        <f t="shared" si="2"/>
        <v>20.28</v>
      </c>
      <c r="M162" s="50">
        <f t="shared" si="10"/>
        <v>6.3180000000000005</v>
      </c>
      <c r="N162" s="50">
        <f t="shared" si="3"/>
        <v>0.45</v>
      </c>
      <c r="O162" s="28">
        <f t="shared" si="4"/>
        <v>27.048000000000002</v>
      </c>
      <c r="P162" s="193"/>
      <c r="Q162" s="214"/>
      <c r="R162" s="214"/>
      <c r="S162" s="214"/>
      <c r="T162" s="214"/>
      <c r="U162" s="214"/>
      <c r="V162" s="214"/>
    </row>
    <row r="163" spans="1:22">
      <c r="A163" s="133" t="s">
        <v>210</v>
      </c>
      <c r="B163" s="139" t="s">
        <v>367</v>
      </c>
      <c r="C163" s="135" t="s">
        <v>81</v>
      </c>
      <c r="D163" s="238">
        <v>8</v>
      </c>
      <c r="E163" s="48">
        <v>1.25</v>
      </c>
      <c r="F163" s="48">
        <v>8</v>
      </c>
      <c r="G163" s="49">
        <f t="shared" si="9"/>
        <v>13</v>
      </c>
      <c r="H163" s="48">
        <v>4.28</v>
      </c>
      <c r="I163" s="50">
        <v>0.15</v>
      </c>
      <c r="J163" s="51">
        <f t="shared" si="0"/>
        <v>17.43</v>
      </c>
      <c r="K163" s="52">
        <f t="shared" si="1"/>
        <v>10</v>
      </c>
      <c r="L163" s="50">
        <f t="shared" si="2"/>
        <v>104</v>
      </c>
      <c r="M163" s="50">
        <f t="shared" si="10"/>
        <v>44.512000000000008</v>
      </c>
      <c r="N163" s="50">
        <f t="shared" si="3"/>
        <v>1.2</v>
      </c>
      <c r="O163" s="28">
        <f t="shared" si="4"/>
        <v>149.71199999999999</v>
      </c>
      <c r="P163" s="193"/>
      <c r="Q163" s="214"/>
      <c r="R163" s="214"/>
      <c r="S163" s="214"/>
      <c r="T163" s="214"/>
      <c r="U163" s="214"/>
      <c r="V163" s="214"/>
    </row>
    <row r="164" spans="1:22">
      <c r="A164" s="133" t="s">
        <v>212</v>
      </c>
      <c r="B164" s="139" t="s">
        <v>368</v>
      </c>
      <c r="C164" s="135" t="s">
        <v>81</v>
      </c>
      <c r="D164" s="238">
        <v>30</v>
      </c>
      <c r="E164" s="48">
        <v>0.15</v>
      </c>
      <c r="F164" s="48">
        <v>8</v>
      </c>
      <c r="G164" s="49">
        <f t="shared" si="9"/>
        <v>1.56</v>
      </c>
      <c r="H164" s="48">
        <v>0.1</v>
      </c>
      <c r="I164" s="50">
        <v>0.15</v>
      </c>
      <c r="J164" s="51">
        <f t="shared" si="0"/>
        <v>1.81</v>
      </c>
      <c r="K164" s="52">
        <f t="shared" si="1"/>
        <v>4.5</v>
      </c>
      <c r="L164" s="50">
        <f t="shared" si="2"/>
        <v>46.8</v>
      </c>
      <c r="M164" s="50">
        <f t="shared" si="10"/>
        <v>3.9000000000000004</v>
      </c>
      <c r="N164" s="50">
        <f t="shared" si="3"/>
        <v>4.5</v>
      </c>
      <c r="O164" s="28">
        <f t="shared" si="4"/>
        <v>55.199999999999996</v>
      </c>
      <c r="P164" s="193"/>
      <c r="Q164" s="214"/>
      <c r="R164" s="214"/>
      <c r="S164" s="214"/>
      <c r="T164" s="214"/>
      <c r="U164" s="214"/>
      <c r="V164" s="214"/>
    </row>
    <row r="165" spans="1:22">
      <c r="A165" s="133" t="s">
        <v>214</v>
      </c>
      <c r="B165" s="139" t="s">
        <v>369</v>
      </c>
      <c r="C165" s="135" t="s">
        <v>84</v>
      </c>
      <c r="D165" s="238">
        <v>180</v>
      </c>
      <c r="E165" s="48">
        <v>0.35</v>
      </c>
      <c r="F165" s="48">
        <v>8</v>
      </c>
      <c r="G165" s="49">
        <f t="shared" si="9"/>
        <v>3.6399999999999997</v>
      </c>
      <c r="H165" s="48">
        <v>0.27</v>
      </c>
      <c r="I165" s="50">
        <v>0.15</v>
      </c>
      <c r="J165" s="51">
        <f t="shared" si="0"/>
        <v>4.0599999999999996</v>
      </c>
      <c r="K165" s="52">
        <f t="shared" si="1"/>
        <v>63</v>
      </c>
      <c r="L165" s="50">
        <f t="shared" si="2"/>
        <v>655.20000000000005</v>
      </c>
      <c r="M165" s="50">
        <f t="shared" si="10"/>
        <v>63.180000000000007</v>
      </c>
      <c r="N165" s="50">
        <f t="shared" si="3"/>
        <v>27</v>
      </c>
      <c r="O165" s="28">
        <f t="shared" si="4"/>
        <v>745.38000000000011</v>
      </c>
      <c r="P165" s="193"/>
      <c r="Q165" s="214"/>
      <c r="R165" s="214"/>
      <c r="S165" s="214"/>
      <c r="T165" s="214"/>
      <c r="U165" s="214"/>
      <c r="V165" s="214"/>
    </row>
    <row r="166" spans="1:22">
      <c r="A166" s="133" t="s">
        <v>216</v>
      </c>
      <c r="B166" s="134" t="s">
        <v>370</v>
      </c>
      <c r="C166" s="135" t="s">
        <v>84</v>
      </c>
      <c r="D166" s="238">
        <v>450</v>
      </c>
      <c r="E166" s="48">
        <v>0.35</v>
      </c>
      <c r="F166" s="48">
        <v>8</v>
      </c>
      <c r="G166" s="49">
        <f t="shared" si="9"/>
        <v>3.6399999999999997</v>
      </c>
      <c r="H166" s="48">
        <v>0.16</v>
      </c>
      <c r="I166" s="50">
        <v>0.15</v>
      </c>
      <c r="J166" s="51">
        <f t="shared" si="0"/>
        <v>3.9499999999999997</v>
      </c>
      <c r="K166" s="52">
        <f t="shared" si="1"/>
        <v>157.5</v>
      </c>
      <c r="L166" s="50">
        <f t="shared" si="2"/>
        <v>1638</v>
      </c>
      <c r="M166" s="50">
        <f t="shared" si="10"/>
        <v>93.600000000000009</v>
      </c>
      <c r="N166" s="50">
        <f t="shared" si="3"/>
        <v>67.5</v>
      </c>
      <c r="O166" s="28">
        <f t="shared" si="4"/>
        <v>1799.1</v>
      </c>
      <c r="P166" s="193"/>
      <c r="Q166" s="214"/>
      <c r="R166" s="214"/>
      <c r="S166" s="214"/>
      <c r="T166" s="214"/>
      <c r="U166" s="214"/>
      <c r="V166" s="214"/>
    </row>
    <row r="167" spans="1:22">
      <c r="A167" s="133" t="s">
        <v>218</v>
      </c>
      <c r="B167" s="137" t="s">
        <v>319</v>
      </c>
      <c r="C167" s="135" t="s">
        <v>84</v>
      </c>
      <c r="D167" s="238">
        <v>280</v>
      </c>
      <c r="E167" s="48">
        <v>0.25</v>
      </c>
      <c r="F167" s="48">
        <v>8</v>
      </c>
      <c r="G167" s="49">
        <f t="shared" si="9"/>
        <v>2.6</v>
      </c>
      <c r="H167" s="48">
        <v>0.41</v>
      </c>
      <c r="I167" s="50">
        <v>0.15</v>
      </c>
      <c r="J167" s="51">
        <f t="shared" si="0"/>
        <v>3.16</v>
      </c>
      <c r="K167" s="52">
        <f t="shared" si="1"/>
        <v>70</v>
      </c>
      <c r="L167" s="50">
        <f t="shared" si="2"/>
        <v>728</v>
      </c>
      <c r="M167" s="50">
        <f t="shared" si="10"/>
        <v>149.24</v>
      </c>
      <c r="N167" s="50">
        <f t="shared" si="3"/>
        <v>42</v>
      </c>
      <c r="O167" s="28">
        <f t="shared" si="4"/>
        <v>919.24</v>
      </c>
      <c r="P167" s="193"/>
      <c r="Q167" s="214"/>
      <c r="R167" s="214"/>
      <c r="S167" s="214"/>
      <c r="T167" s="214"/>
      <c r="U167" s="214"/>
      <c r="V167" s="214"/>
    </row>
    <row r="168" spans="1:22" ht="31.5">
      <c r="A168" s="133" t="s">
        <v>220</v>
      </c>
      <c r="B168" s="139" t="s">
        <v>320</v>
      </c>
      <c r="C168" s="135" t="s">
        <v>81</v>
      </c>
      <c r="D168" s="238">
        <v>22</v>
      </c>
      <c r="E168" s="48">
        <v>0.65</v>
      </c>
      <c r="F168" s="48">
        <v>8</v>
      </c>
      <c r="G168" s="49">
        <f t="shared" si="9"/>
        <v>6.7600000000000007</v>
      </c>
      <c r="H168" s="48">
        <v>2</v>
      </c>
      <c r="I168" s="50">
        <v>0.15</v>
      </c>
      <c r="J168" s="51">
        <f t="shared" si="0"/>
        <v>8.9100000000000019</v>
      </c>
      <c r="K168" s="52">
        <f t="shared" si="1"/>
        <v>14.3</v>
      </c>
      <c r="L168" s="50">
        <f t="shared" si="2"/>
        <v>148.72</v>
      </c>
      <c r="M168" s="50">
        <f t="shared" si="10"/>
        <v>57.2</v>
      </c>
      <c r="N168" s="50">
        <f t="shared" si="3"/>
        <v>3.3</v>
      </c>
      <c r="O168" s="28">
        <f t="shared" si="4"/>
        <v>209.22000000000003</v>
      </c>
      <c r="P168" s="193"/>
      <c r="Q168" s="214"/>
      <c r="R168" s="214"/>
      <c r="S168" s="214"/>
      <c r="T168" s="214"/>
      <c r="U168" s="214"/>
      <c r="V168" s="214"/>
    </row>
    <row r="169" spans="1:22" ht="31.5">
      <c r="A169" s="133" t="s">
        <v>222</v>
      </c>
      <c r="B169" s="139" t="s">
        <v>321</v>
      </c>
      <c r="C169" s="135" t="s">
        <v>105</v>
      </c>
      <c r="D169" s="238">
        <v>6</v>
      </c>
      <c r="E169" s="48">
        <v>12</v>
      </c>
      <c r="F169" s="48">
        <v>8</v>
      </c>
      <c r="G169" s="49">
        <f t="shared" si="9"/>
        <v>124.80000000000001</v>
      </c>
      <c r="H169" s="48">
        <v>9.5</v>
      </c>
      <c r="I169" s="50">
        <v>0.15</v>
      </c>
      <c r="J169" s="51">
        <f t="shared" si="0"/>
        <v>134.45000000000002</v>
      </c>
      <c r="K169" s="52">
        <f t="shared" si="1"/>
        <v>72</v>
      </c>
      <c r="L169" s="50">
        <f t="shared" si="2"/>
        <v>748.8</v>
      </c>
      <c r="M169" s="50">
        <f t="shared" si="10"/>
        <v>74.100000000000009</v>
      </c>
      <c r="N169" s="50">
        <f t="shared" si="3"/>
        <v>0.9</v>
      </c>
      <c r="O169" s="28">
        <f t="shared" si="4"/>
        <v>823.8</v>
      </c>
      <c r="P169" s="193"/>
      <c r="Q169" s="214"/>
      <c r="R169" s="214"/>
      <c r="S169" s="214"/>
      <c r="T169" s="214"/>
      <c r="U169" s="214"/>
      <c r="V169" s="214"/>
    </row>
    <row r="170" spans="1:22" ht="31.5">
      <c r="A170" s="150" t="s">
        <v>224</v>
      </c>
      <c r="B170" s="241" t="s">
        <v>371</v>
      </c>
      <c r="C170" s="138" t="s">
        <v>105</v>
      </c>
      <c r="D170" s="240">
        <v>1</v>
      </c>
      <c r="E170" s="48">
        <v>15</v>
      </c>
      <c r="F170" s="48">
        <v>8</v>
      </c>
      <c r="G170" s="49">
        <f>ROUND(E170*F170,2)*1.3</f>
        <v>156</v>
      </c>
      <c r="H170" s="48">
        <v>28.5</v>
      </c>
      <c r="I170" s="50">
        <v>0.15</v>
      </c>
      <c r="J170" s="51">
        <f>SUM(G170:I170)</f>
        <v>184.65</v>
      </c>
      <c r="K170" s="52">
        <f>ROUND(D170*E170,2)</f>
        <v>15</v>
      </c>
      <c r="L170" s="50">
        <f>ROUND(D170*G170,2)</f>
        <v>156</v>
      </c>
      <c r="M170" s="50">
        <f>ROUND(D170*H170,2)*1.3</f>
        <v>37.050000000000004</v>
      </c>
      <c r="N170" s="50">
        <f>ROUND(D170*I170,2)</f>
        <v>0.15</v>
      </c>
      <c r="O170" s="28">
        <f>SUM(L170:N170)</f>
        <v>193.20000000000002</v>
      </c>
      <c r="P170" s="193"/>
      <c r="Q170" s="214"/>
      <c r="R170" s="214"/>
      <c r="S170" s="214"/>
      <c r="T170" s="214"/>
      <c r="U170" s="214"/>
      <c r="V170" s="214"/>
    </row>
    <row r="171" spans="1:22" ht="31.5">
      <c r="A171" s="39"/>
      <c r="B171" s="40" t="s">
        <v>372</v>
      </c>
      <c r="C171" s="39"/>
      <c r="D171" s="41"/>
      <c r="E171" s="42"/>
      <c r="F171" s="42"/>
      <c r="G171" s="43"/>
      <c r="H171" s="42"/>
      <c r="I171" s="44"/>
      <c r="J171" s="45"/>
      <c r="K171" s="46"/>
      <c r="L171" s="44"/>
      <c r="M171" s="44"/>
      <c r="N171" s="44"/>
      <c r="O171" s="30"/>
      <c r="P171" s="193"/>
      <c r="Q171" s="214"/>
      <c r="R171" s="214"/>
      <c r="S171" s="214"/>
      <c r="T171" s="214"/>
      <c r="U171" s="214"/>
      <c r="V171" s="214"/>
    </row>
    <row r="172" spans="1:22">
      <c r="A172" s="39"/>
      <c r="B172" s="82" t="s">
        <v>373</v>
      </c>
      <c r="C172" s="39"/>
      <c r="D172" s="41"/>
      <c r="E172" s="42"/>
      <c r="F172" s="42"/>
      <c r="G172" s="43"/>
      <c r="H172" s="42"/>
      <c r="I172" s="44"/>
      <c r="J172" s="45"/>
      <c r="K172" s="46"/>
      <c r="L172" s="44"/>
      <c r="M172" s="44"/>
      <c r="N172" s="44"/>
      <c r="O172" s="30"/>
      <c r="P172" s="193"/>
      <c r="Q172" s="214"/>
      <c r="R172" s="214"/>
      <c r="S172" s="214"/>
      <c r="T172" s="214"/>
      <c r="U172" s="214"/>
      <c r="V172" s="214"/>
    </row>
    <row r="173" spans="1:22">
      <c r="A173" s="36" t="s">
        <v>39</v>
      </c>
      <c r="B173" s="181" t="s">
        <v>178</v>
      </c>
      <c r="C173" s="182" t="s">
        <v>81</v>
      </c>
      <c r="D173" s="237">
        <v>2</v>
      </c>
      <c r="E173" s="48">
        <v>0.45</v>
      </c>
      <c r="F173" s="48">
        <v>8</v>
      </c>
      <c r="G173" s="49">
        <f t="shared" ref="G173:G270" si="11">ROUND(E173*F173,2)</f>
        <v>3.6</v>
      </c>
      <c r="H173" s="48">
        <v>12.91</v>
      </c>
      <c r="I173" s="50">
        <v>0.1</v>
      </c>
      <c r="J173" s="51">
        <f t="shared" ref="J173:J270" si="12">SUM(G173:I173)</f>
        <v>16.610000000000003</v>
      </c>
      <c r="K173" s="52">
        <f t="shared" ref="K173:K270" si="13">ROUND(D173*E173,2)</f>
        <v>0.9</v>
      </c>
      <c r="L173" s="50">
        <f>ROUND(D173*G173,2)*1.3</f>
        <v>9.3600000000000012</v>
      </c>
      <c r="M173" s="50">
        <f>ROUND(D173*H173,2)*1.3</f>
        <v>33.566000000000003</v>
      </c>
      <c r="N173" s="50">
        <f t="shared" ref="N173:N270" si="14">ROUND(D173*I173,2)</f>
        <v>0.2</v>
      </c>
      <c r="O173" s="28">
        <f t="shared" ref="O173:O270" si="15">SUM(L173:N173)</f>
        <v>43.126000000000005</v>
      </c>
      <c r="P173" s="193"/>
      <c r="Q173" s="214"/>
      <c r="R173" s="214"/>
      <c r="S173" s="214"/>
      <c r="T173" s="214"/>
      <c r="U173" s="214"/>
      <c r="V173" s="214"/>
    </row>
    <row r="174" spans="1:22">
      <c r="A174" s="133" t="s">
        <v>71</v>
      </c>
      <c r="B174" s="134" t="s">
        <v>179</v>
      </c>
      <c r="C174" s="135" t="s">
        <v>81</v>
      </c>
      <c r="D174" s="238">
        <v>18</v>
      </c>
      <c r="E174" s="48">
        <v>0.65</v>
      </c>
      <c r="F174" s="48">
        <v>8</v>
      </c>
      <c r="G174" s="49">
        <f t="shared" si="11"/>
        <v>5.2</v>
      </c>
      <c r="H174" s="48">
        <v>1.3</v>
      </c>
      <c r="I174" s="50">
        <v>0.1</v>
      </c>
      <c r="J174" s="51">
        <f t="shared" si="12"/>
        <v>6.6</v>
      </c>
      <c r="K174" s="52">
        <f t="shared" si="13"/>
        <v>11.7</v>
      </c>
      <c r="L174" s="50">
        <f>ROUND(D174*G174,2)*1.3</f>
        <v>121.67999999999999</v>
      </c>
      <c r="M174" s="50">
        <f>ROUND(D174*H174,2)*1.3</f>
        <v>30.419999999999998</v>
      </c>
      <c r="N174" s="50">
        <f t="shared" si="14"/>
        <v>1.8</v>
      </c>
      <c r="O174" s="28">
        <f t="shared" si="15"/>
        <v>153.9</v>
      </c>
      <c r="P174" s="193"/>
      <c r="Q174" s="214"/>
      <c r="R174" s="214"/>
      <c r="S174" s="214"/>
      <c r="T174" s="214"/>
      <c r="U174" s="214"/>
      <c r="V174" s="214"/>
    </row>
    <row r="175" spans="1:22">
      <c r="A175" s="133" t="s">
        <v>74</v>
      </c>
      <c r="B175" s="134" t="s">
        <v>180</v>
      </c>
      <c r="C175" s="135" t="s">
        <v>81</v>
      </c>
      <c r="D175" s="238">
        <v>10</v>
      </c>
      <c r="E175" s="48">
        <v>0.65</v>
      </c>
      <c r="F175" s="48">
        <v>8</v>
      </c>
      <c r="G175" s="49">
        <f t="shared" si="11"/>
        <v>5.2</v>
      </c>
      <c r="H175" s="48">
        <v>1.65</v>
      </c>
      <c r="I175" s="50">
        <v>0.1</v>
      </c>
      <c r="J175" s="51">
        <f t="shared" si="12"/>
        <v>6.9499999999999993</v>
      </c>
      <c r="K175" s="52">
        <f t="shared" si="13"/>
        <v>6.5</v>
      </c>
      <c r="L175" s="50">
        <f>ROUND(D175*G175,2)*1.3</f>
        <v>67.600000000000009</v>
      </c>
      <c r="M175" s="50">
        <f>ROUND(D175*H175,2)*1.3</f>
        <v>21.45</v>
      </c>
      <c r="N175" s="50">
        <f t="shared" si="14"/>
        <v>1</v>
      </c>
      <c r="O175" s="28">
        <f t="shared" si="15"/>
        <v>90.050000000000011</v>
      </c>
      <c r="P175" s="193"/>
      <c r="Q175" s="214"/>
      <c r="R175" s="214"/>
      <c r="S175" s="214"/>
      <c r="T175" s="214"/>
      <c r="U175" s="214"/>
      <c r="V175" s="214"/>
    </row>
    <row r="176" spans="1:22">
      <c r="A176" s="133" t="s">
        <v>77</v>
      </c>
      <c r="B176" s="134" t="s">
        <v>181</v>
      </c>
      <c r="C176" s="135" t="s">
        <v>81</v>
      </c>
      <c r="D176" s="239">
        <v>38</v>
      </c>
      <c r="E176" s="48">
        <v>0.65</v>
      </c>
      <c r="F176" s="48">
        <v>8</v>
      </c>
      <c r="G176" s="49">
        <f t="shared" si="11"/>
        <v>5.2</v>
      </c>
      <c r="H176" s="48">
        <v>1.35</v>
      </c>
      <c r="I176" s="50">
        <v>0.1</v>
      </c>
      <c r="J176" s="51">
        <f t="shared" si="12"/>
        <v>6.65</v>
      </c>
      <c r="K176" s="52">
        <f t="shared" si="13"/>
        <v>24.7</v>
      </c>
      <c r="L176" s="50">
        <f t="shared" ref="L176:L239" si="16">ROUND(D176*G176,2)*1.3</f>
        <v>256.88</v>
      </c>
      <c r="M176" s="50">
        <f t="shared" ref="M176:M239" si="17">ROUND(D176*H176,2)*1.3</f>
        <v>66.69</v>
      </c>
      <c r="N176" s="50">
        <f t="shared" si="14"/>
        <v>3.8</v>
      </c>
      <c r="O176" s="28">
        <f t="shared" si="15"/>
        <v>327.37</v>
      </c>
      <c r="P176" s="193"/>
      <c r="Q176" s="214"/>
      <c r="R176" s="214"/>
      <c r="S176" s="214"/>
      <c r="T176" s="214"/>
      <c r="U176" s="214"/>
      <c r="V176" s="214"/>
    </row>
    <row r="177" spans="1:22">
      <c r="A177" s="133" t="s">
        <v>79</v>
      </c>
      <c r="B177" s="134" t="s">
        <v>182</v>
      </c>
      <c r="C177" s="135" t="s">
        <v>81</v>
      </c>
      <c r="D177" s="239">
        <v>2</v>
      </c>
      <c r="E177" s="48">
        <v>0.65</v>
      </c>
      <c r="F177" s="48">
        <v>8</v>
      </c>
      <c r="G177" s="49">
        <f t="shared" si="11"/>
        <v>5.2</v>
      </c>
      <c r="H177" s="48">
        <v>2.5099999999999998</v>
      </c>
      <c r="I177" s="50">
        <v>0.1</v>
      </c>
      <c r="J177" s="51">
        <f t="shared" si="12"/>
        <v>7.81</v>
      </c>
      <c r="K177" s="52">
        <f t="shared" si="13"/>
        <v>1.3</v>
      </c>
      <c r="L177" s="50">
        <f t="shared" si="16"/>
        <v>13.520000000000001</v>
      </c>
      <c r="M177" s="50">
        <f t="shared" si="17"/>
        <v>6.5259999999999998</v>
      </c>
      <c r="N177" s="50">
        <f t="shared" si="14"/>
        <v>0.2</v>
      </c>
      <c r="O177" s="28">
        <f t="shared" si="15"/>
        <v>20.245999999999999</v>
      </c>
      <c r="P177" s="193"/>
      <c r="Q177" s="214"/>
      <c r="R177" s="214"/>
      <c r="S177" s="214"/>
      <c r="T177" s="214"/>
      <c r="U177" s="214"/>
      <c r="V177" s="214"/>
    </row>
    <row r="178" spans="1:22">
      <c r="A178" s="133" t="s">
        <v>82</v>
      </c>
      <c r="B178" s="134" t="s">
        <v>183</v>
      </c>
      <c r="C178" s="135" t="s">
        <v>81</v>
      </c>
      <c r="D178" s="239">
        <v>21</v>
      </c>
      <c r="E178" s="48">
        <v>0.65</v>
      </c>
      <c r="F178" s="48">
        <v>8</v>
      </c>
      <c r="G178" s="49">
        <f t="shared" si="11"/>
        <v>5.2</v>
      </c>
      <c r="H178" s="48">
        <v>3</v>
      </c>
      <c r="I178" s="50">
        <v>0.1</v>
      </c>
      <c r="J178" s="51">
        <f t="shared" si="12"/>
        <v>8.2999999999999989</v>
      </c>
      <c r="K178" s="52">
        <f t="shared" si="13"/>
        <v>13.65</v>
      </c>
      <c r="L178" s="50">
        <f t="shared" si="16"/>
        <v>141.96</v>
      </c>
      <c r="M178" s="50">
        <f t="shared" si="17"/>
        <v>81.900000000000006</v>
      </c>
      <c r="N178" s="50">
        <f t="shared" si="14"/>
        <v>2.1</v>
      </c>
      <c r="O178" s="28">
        <f t="shared" si="15"/>
        <v>225.96</v>
      </c>
      <c r="P178" s="193"/>
      <c r="Q178" s="214"/>
      <c r="R178" s="214"/>
      <c r="S178" s="214"/>
      <c r="T178" s="214"/>
      <c r="U178" s="214"/>
      <c r="V178" s="214"/>
    </row>
    <row r="179" spans="1:22">
      <c r="A179" s="133" t="s">
        <v>85</v>
      </c>
      <c r="B179" s="134" t="s">
        <v>184</v>
      </c>
      <c r="C179" s="135" t="s">
        <v>81</v>
      </c>
      <c r="D179" s="239">
        <v>85</v>
      </c>
      <c r="E179" s="48">
        <v>0.65</v>
      </c>
      <c r="F179" s="48">
        <v>8</v>
      </c>
      <c r="G179" s="49">
        <f t="shared" si="11"/>
        <v>5.2</v>
      </c>
      <c r="H179" s="48">
        <v>1.34</v>
      </c>
      <c r="I179" s="50">
        <v>0.1</v>
      </c>
      <c r="J179" s="51">
        <f t="shared" si="12"/>
        <v>6.64</v>
      </c>
      <c r="K179" s="52">
        <f t="shared" si="13"/>
        <v>55.25</v>
      </c>
      <c r="L179" s="50">
        <f t="shared" si="16"/>
        <v>574.6</v>
      </c>
      <c r="M179" s="50">
        <f t="shared" si="17"/>
        <v>148.07000000000002</v>
      </c>
      <c r="N179" s="50">
        <f t="shared" si="14"/>
        <v>8.5</v>
      </c>
      <c r="O179" s="28">
        <f t="shared" si="15"/>
        <v>731.17000000000007</v>
      </c>
      <c r="P179" s="193"/>
      <c r="Q179" s="214"/>
      <c r="R179" s="214"/>
      <c r="S179" s="214"/>
      <c r="T179" s="214"/>
      <c r="U179" s="214"/>
      <c r="V179" s="214"/>
    </row>
    <row r="180" spans="1:22" ht="31.5">
      <c r="A180" s="133" t="s">
        <v>87</v>
      </c>
      <c r="B180" s="137" t="s">
        <v>374</v>
      </c>
      <c r="C180" s="138" t="s">
        <v>105</v>
      </c>
      <c r="D180" s="238">
        <v>1</v>
      </c>
      <c r="E180" s="48">
        <v>2.5</v>
      </c>
      <c r="F180" s="48">
        <v>8</v>
      </c>
      <c r="G180" s="49">
        <f t="shared" si="11"/>
        <v>20</v>
      </c>
      <c r="H180" s="48">
        <v>50.23</v>
      </c>
      <c r="I180" s="50">
        <v>0.1</v>
      </c>
      <c r="J180" s="51">
        <f t="shared" si="12"/>
        <v>70.329999999999984</v>
      </c>
      <c r="K180" s="52">
        <f t="shared" si="13"/>
        <v>2.5</v>
      </c>
      <c r="L180" s="50">
        <f t="shared" si="16"/>
        <v>26</v>
      </c>
      <c r="M180" s="50">
        <f t="shared" si="17"/>
        <v>65.298999999999992</v>
      </c>
      <c r="N180" s="50">
        <f t="shared" si="14"/>
        <v>0.1</v>
      </c>
      <c r="O180" s="28">
        <f t="shared" si="15"/>
        <v>91.398999999999987</v>
      </c>
      <c r="P180" s="193"/>
      <c r="Q180" s="214"/>
      <c r="R180" s="214"/>
      <c r="S180" s="214"/>
      <c r="T180" s="214"/>
      <c r="U180" s="214"/>
      <c r="V180" s="214"/>
    </row>
    <row r="181" spans="1:22">
      <c r="A181" s="133" t="s">
        <v>89</v>
      </c>
      <c r="B181" s="139" t="s">
        <v>187</v>
      </c>
      <c r="C181" s="133" t="s">
        <v>81</v>
      </c>
      <c r="D181" s="240">
        <v>20</v>
      </c>
      <c r="E181" s="48">
        <v>0.25</v>
      </c>
      <c r="F181" s="48">
        <v>8</v>
      </c>
      <c r="G181" s="49">
        <f t="shared" si="11"/>
        <v>2</v>
      </c>
      <c r="H181" s="48">
        <v>0.83</v>
      </c>
      <c r="I181" s="50">
        <v>0.1</v>
      </c>
      <c r="J181" s="51">
        <f t="shared" si="12"/>
        <v>2.93</v>
      </c>
      <c r="K181" s="52">
        <f t="shared" si="13"/>
        <v>5</v>
      </c>
      <c r="L181" s="50">
        <f t="shared" si="16"/>
        <v>52</v>
      </c>
      <c r="M181" s="50">
        <f t="shared" si="17"/>
        <v>21.580000000000002</v>
      </c>
      <c r="N181" s="50">
        <f t="shared" si="14"/>
        <v>2</v>
      </c>
      <c r="O181" s="28">
        <f t="shared" si="15"/>
        <v>75.58</v>
      </c>
      <c r="P181" s="193"/>
      <c r="Q181" s="214"/>
      <c r="R181" s="214"/>
      <c r="S181" s="214"/>
      <c r="T181" s="214"/>
      <c r="U181" s="214"/>
      <c r="V181" s="214"/>
    </row>
    <row r="182" spans="1:22">
      <c r="A182" s="133" t="s">
        <v>91</v>
      </c>
      <c r="B182" s="139" t="s">
        <v>188</v>
      </c>
      <c r="C182" s="141" t="s">
        <v>81</v>
      </c>
      <c r="D182" s="240">
        <v>175</v>
      </c>
      <c r="E182" s="48">
        <v>0.35</v>
      </c>
      <c r="F182" s="48">
        <v>8</v>
      </c>
      <c r="G182" s="49">
        <f t="shared" si="11"/>
        <v>2.8</v>
      </c>
      <c r="H182" s="48">
        <v>0.28000000000000003</v>
      </c>
      <c r="I182" s="50">
        <v>0.1</v>
      </c>
      <c r="J182" s="51">
        <f t="shared" si="12"/>
        <v>3.18</v>
      </c>
      <c r="K182" s="52">
        <f t="shared" si="13"/>
        <v>61.25</v>
      </c>
      <c r="L182" s="50">
        <f t="shared" si="16"/>
        <v>637</v>
      </c>
      <c r="M182" s="50">
        <f t="shared" si="17"/>
        <v>63.7</v>
      </c>
      <c r="N182" s="50">
        <f t="shared" si="14"/>
        <v>17.5</v>
      </c>
      <c r="O182" s="28">
        <f t="shared" si="15"/>
        <v>718.2</v>
      </c>
      <c r="P182" s="193"/>
      <c r="Q182" s="214"/>
      <c r="R182" s="214"/>
      <c r="S182" s="214"/>
      <c r="T182" s="214"/>
      <c r="U182" s="214"/>
      <c r="V182" s="214"/>
    </row>
    <row r="183" spans="1:22">
      <c r="A183" s="133" t="s">
        <v>93</v>
      </c>
      <c r="B183" s="139" t="s">
        <v>189</v>
      </c>
      <c r="C183" s="141" t="s">
        <v>84</v>
      </c>
      <c r="D183" s="240">
        <v>50</v>
      </c>
      <c r="E183" s="48">
        <v>0.25</v>
      </c>
      <c r="F183" s="48">
        <v>8</v>
      </c>
      <c r="G183" s="49">
        <f t="shared" si="11"/>
        <v>2</v>
      </c>
      <c r="H183" s="48">
        <v>0.32</v>
      </c>
      <c r="I183" s="50">
        <v>0.1</v>
      </c>
      <c r="J183" s="51">
        <f t="shared" si="12"/>
        <v>2.42</v>
      </c>
      <c r="K183" s="52">
        <f t="shared" si="13"/>
        <v>12.5</v>
      </c>
      <c r="L183" s="50">
        <f t="shared" si="16"/>
        <v>130</v>
      </c>
      <c r="M183" s="50">
        <f t="shared" si="17"/>
        <v>20.8</v>
      </c>
      <c r="N183" s="50">
        <f t="shared" si="14"/>
        <v>5</v>
      </c>
      <c r="O183" s="28">
        <f t="shared" si="15"/>
        <v>155.80000000000001</v>
      </c>
      <c r="P183" s="193"/>
      <c r="Q183" s="214"/>
      <c r="R183" s="214"/>
      <c r="S183" s="214"/>
      <c r="T183" s="214"/>
      <c r="U183" s="214"/>
      <c r="V183" s="214"/>
    </row>
    <row r="184" spans="1:22">
      <c r="A184" s="133" t="s">
        <v>95</v>
      </c>
      <c r="B184" s="139" t="s">
        <v>190</v>
      </c>
      <c r="C184" s="141" t="s">
        <v>84</v>
      </c>
      <c r="D184" s="238">
        <v>50</v>
      </c>
      <c r="E184" s="48">
        <v>0.25</v>
      </c>
      <c r="F184" s="48">
        <v>8</v>
      </c>
      <c r="G184" s="49">
        <f t="shared" si="11"/>
        <v>2</v>
      </c>
      <c r="H184" s="48">
        <v>0.54</v>
      </c>
      <c r="I184" s="50">
        <v>0.1</v>
      </c>
      <c r="J184" s="51">
        <f t="shared" si="12"/>
        <v>2.64</v>
      </c>
      <c r="K184" s="52">
        <f t="shared" si="13"/>
        <v>12.5</v>
      </c>
      <c r="L184" s="50">
        <f t="shared" si="16"/>
        <v>130</v>
      </c>
      <c r="M184" s="50">
        <f t="shared" si="17"/>
        <v>35.1</v>
      </c>
      <c r="N184" s="50">
        <f t="shared" si="14"/>
        <v>5</v>
      </c>
      <c r="O184" s="28">
        <f t="shared" si="15"/>
        <v>170.1</v>
      </c>
      <c r="P184" s="193"/>
      <c r="Q184" s="214"/>
      <c r="R184" s="214"/>
      <c r="S184" s="214"/>
      <c r="T184" s="214"/>
      <c r="U184" s="214"/>
      <c r="V184" s="214"/>
    </row>
    <row r="185" spans="1:22">
      <c r="A185" s="133" t="s">
        <v>97</v>
      </c>
      <c r="B185" s="139" t="s">
        <v>375</v>
      </c>
      <c r="C185" s="141" t="s">
        <v>84</v>
      </c>
      <c r="D185" s="238">
        <v>75</v>
      </c>
      <c r="E185" s="48">
        <v>0.45</v>
      </c>
      <c r="F185" s="48">
        <v>8</v>
      </c>
      <c r="G185" s="49">
        <f t="shared" si="11"/>
        <v>3.6</v>
      </c>
      <c r="H185" s="48">
        <v>2.44</v>
      </c>
      <c r="I185" s="50">
        <v>0.1</v>
      </c>
      <c r="J185" s="51">
        <f t="shared" si="12"/>
        <v>6.14</v>
      </c>
      <c r="K185" s="52">
        <f t="shared" si="13"/>
        <v>33.75</v>
      </c>
      <c r="L185" s="50">
        <f t="shared" si="16"/>
        <v>351</v>
      </c>
      <c r="M185" s="50">
        <f t="shared" si="17"/>
        <v>237.9</v>
      </c>
      <c r="N185" s="50">
        <f t="shared" si="14"/>
        <v>7.5</v>
      </c>
      <c r="O185" s="28">
        <f t="shared" si="15"/>
        <v>596.4</v>
      </c>
      <c r="P185" s="193"/>
      <c r="Q185" s="214"/>
      <c r="R185" s="214"/>
      <c r="S185" s="214"/>
      <c r="T185" s="214"/>
      <c r="U185" s="214"/>
      <c r="V185" s="214"/>
    </row>
    <row r="186" spans="1:22">
      <c r="A186" s="133" t="s">
        <v>99</v>
      </c>
      <c r="B186" s="144" t="s">
        <v>193</v>
      </c>
      <c r="C186" s="141" t="s">
        <v>84</v>
      </c>
      <c r="D186" s="238">
        <v>1500</v>
      </c>
      <c r="E186" s="48">
        <v>0.35</v>
      </c>
      <c r="F186" s="48">
        <v>8</v>
      </c>
      <c r="G186" s="49">
        <f t="shared" si="11"/>
        <v>2.8</v>
      </c>
      <c r="H186" s="48">
        <v>0.34</v>
      </c>
      <c r="I186" s="50">
        <v>0.05</v>
      </c>
      <c r="J186" s="51">
        <f t="shared" si="12"/>
        <v>3.1899999999999995</v>
      </c>
      <c r="K186" s="52">
        <f t="shared" si="13"/>
        <v>525</v>
      </c>
      <c r="L186" s="50">
        <f t="shared" si="16"/>
        <v>5460</v>
      </c>
      <c r="M186" s="50">
        <f t="shared" si="17"/>
        <v>663</v>
      </c>
      <c r="N186" s="50">
        <f t="shared" si="14"/>
        <v>75</v>
      </c>
      <c r="O186" s="28">
        <f t="shared" si="15"/>
        <v>6198</v>
      </c>
      <c r="P186" s="193"/>
      <c r="Q186" s="214"/>
      <c r="R186" s="214"/>
      <c r="S186" s="214"/>
      <c r="T186" s="214"/>
      <c r="U186" s="214"/>
      <c r="V186" s="214"/>
    </row>
    <row r="187" spans="1:22">
      <c r="A187" s="133" t="s">
        <v>192</v>
      </c>
      <c r="B187" s="134" t="s">
        <v>195</v>
      </c>
      <c r="C187" s="141" t="s">
        <v>84</v>
      </c>
      <c r="D187" s="240">
        <v>1400</v>
      </c>
      <c r="E187" s="48">
        <v>0.35</v>
      </c>
      <c r="F187" s="48">
        <v>8</v>
      </c>
      <c r="G187" s="49">
        <f t="shared" si="11"/>
        <v>2.8</v>
      </c>
      <c r="H187" s="48">
        <v>0.52</v>
      </c>
      <c r="I187" s="50">
        <v>0.05</v>
      </c>
      <c r="J187" s="51">
        <f t="shared" si="12"/>
        <v>3.3699999999999997</v>
      </c>
      <c r="K187" s="52">
        <f t="shared" si="13"/>
        <v>490</v>
      </c>
      <c r="L187" s="50">
        <f t="shared" si="16"/>
        <v>5096</v>
      </c>
      <c r="M187" s="50">
        <f t="shared" si="17"/>
        <v>946.4</v>
      </c>
      <c r="N187" s="50">
        <f t="shared" si="14"/>
        <v>70</v>
      </c>
      <c r="O187" s="28">
        <f t="shared" si="15"/>
        <v>6112.4</v>
      </c>
      <c r="P187" s="193"/>
      <c r="Q187" s="214"/>
      <c r="R187" s="214"/>
      <c r="S187" s="214"/>
      <c r="T187" s="214"/>
      <c r="U187" s="214"/>
      <c r="V187" s="214"/>
    </row>
    <row r="188" spans="1:22">
      <c r="A188" s="133" t="s">
        <v>194</v>
      </c>
      <c r="B188" s="134" t="s">
        <v>197</v>
      </c>
      <c r="C188" s="141" t="s">
        <v>84</v>
      </c>
      <c r="D188" s="238">
        <v>600</v>
      </c>
      <c r="E188" s="48">
        <v>0.35</v>
      </c>
      <c r="F188" s="48">
        <v>8</v>
      </c>
      <c r="G188" s="49">
        <f t="shared" si="11"/>
        <v>2.8</v>
      </c>
      <c r="H188" s="48">
        <v>0.9</v>
      </c>
      <c r="I188" s="50">
        <v>0.05</v>
      </c>
      <c r="J188" s="51">
        <f t="shared" si="12"/>
        <v>3.7499999999999996</v>
      </c>
      <c r="K188" s="52">
        <f t="shared" si="13"/>
        <v>210</v>
      </c>
      <c r="L188" s="50">
        <f t="shared" si="16"/>
        <v>2184</v>
      </c>
      <c r="M188" s="50">
        <f t="shared" si="17"/>
        <v>702</v>
      </c>
      <c r="N188" s="50">
        <f t="shared" si="14"/>
        <v>30</v>
      </c>
      <c r="O188" s="28">
        <f t="shared" si="15"/>
        <v>2916</v>
      </c>
      <c r="P188" s="193"/>
      <c r="Q188" s="214"/>
      <c r="R188" s="214"/>
      <c r="S188" s="214"/>
      <c r="T188" s="214"/>
      <c r="U188" s="214"/>
      <c r="V188" s="214"/>
    </row>
    <row r="189" spans="1:22">
      <c r="A189" s="133" t="s">
        <v>196</v>
      </c>
      <c r="B189" s="134" t="s">
        <v>199</v>
      </c>
      <c r="C189" s="141" t="s">
        <v>84</v>
      </c>
      <c r="D189" s="238">
        <v>50</v>
      </c>
      <c r="E189" s="48">
        <v>0.35</v>
      </c>
      <c r="F189" s="48">
        <v>8</v>
      </c>
      <c r="G189" s="49">
        <f t="shared" si="11"/>
        <v>2.8</v>
      </c>
      <c r="H189" s="48">
        <v>2.16</v>
      </c>
      <c r="I189" s="50">
        <v>0.05</v>
      </c>
      <c r="J189" s="51">
        <f t="shared" si="12"/>
        <v>5.01</v>
      </c>
      <c r="K189" s="52">
        <f t="shared" si="13"/>
        <v>17.5</v>
      </c>
      <c r="L189" s="50">
        <f t="shared" si="16"/>
        <v>182</v>
      </c>
      <c r="M189" s="50">
        <f t="shared" si="17"/>
        <v>140.4</v>
      </c>
      <c r="N189" s="50">
        <f t="shared" si="14"/>
        <v>2.5</v>
      </c>
      <c r="O189" s="28">
        <f t="shared" si="15"/>
        <v>324.89999999999998</v>
      </c>
      <c r="P189" s="193"/>
      <c r="Q189" s="214"/>
      <c r="R189" s="214"/>
      <c r="S189" s="214"/>
      <c r="T189" s="214"/>
      <c r="U189" s="214"/>
      <c r="V189" s="214"/>
    </row>
    <row r="190" spans="1:22">
      <c r="A190" s="133" t="s">
        <v>198</v>
      </c>
      <c r="B190" s="134" t="s">
        <v>201</v>
      </c>
      <c r="C190" s="141" t="s">
        <v>84</v>
      </c>
      <c r="D190" s="238">
        <v>20</v>
      </c>
      <c r="E190" s="48">
        <v>0.35</v>
      </c>
      <c r="F190" s="48">
        <v>8</v>
      </c>
      <c r="G190" s="49">
        <f t="shared" si="11"/>
        <v>2.8</v>
      </c>
      <c r="H190" s="48">
        <v>3.61</v>
      </c>
      <c r="I190" s="50">
        <v>0.05</v>
      </c>
      <c r="J190" s="51">
        <f t="shared" si="12"/>
        <v>6.46</v>
      </c>
      <c r="K190" s="52">
        <f t="shared" si="13"/>
        <v>7</v>
      </c>
      <c r="L190" s="50">
        <f t="shared" si="16"/>
        <v>72.8</v>
      </c>
      <c r="M190" s="50">
        <f t="shared" si="17"/>
        <v>93.860000000000014</v>
      </c>
      <c r="N190" s="50">
        <f t="shared" si="14"/>
        <v>1</v>
      </c>
      <c r="O190" s="28">
        <f t="shared" si="15"/>
        <v>167.66000000000003</v>
      </c>
      <c r="P190" s="193"/>
      <c r="Q190" s="214"/>
      <c r="R190" s="214"/>
      <c r="S190" s="214"/>
      <c r="T190" s="214"/>
      <c r="U190" s="214"/>
      <c r="V190" s="214"/>
    </row>
    <row r="191" spans="1:22">
      <c r="A191" s="133" t="s">
        <v>200</v>
      </c>
      <c r="B191" s="137" t="s">
        <v>203</v>
      </c>
      <c r="C191" s="141" t="s">
        <v>84</v>
      </c>
      <c r="D191" s="238">
        <v>100</v>
      </c>
      <c r="E191" s="48">
        <v>0.35</v>
      </c>
      <c r="F191" s="48">
        <v>8</v>
      </c>
      <c r="G191" s="49">
        <f t="shared" si="11"/>
        <v>2.8</v>
      </c>
      <c r="H191" s="48">
        <v>5.48</v>
      </c>
      <c r="I191" s="50">
        <v>0.05</v>
      </c>
      <c r="J191" s="51">
        <f t="shared" si="12"/>
        <v>8.3300000000000018</v>
      </c>
      <c r="K191" s="52">
        <f t="shared" si="13"/>
        <v>35</v>
      </c>
      <c r="L191" s="50">
        <f t="shared" si="16"/>
        <v>364</v>
      </c>
      <c r="M191" s="50">
        <f t="shared" si="17"/>
        <v>712.4</v>
      </c>
      <c r="N191" s="50">
        <f t="shared" si="14"/>
        <v>5</v>
      </c>
      <c r="O191" s="28">
        <f t="shared" si="15"/>
        <v>1081.4000000000001</v>
      </c>
      <c r="P191" s="193"/>
      <c r="Q191" s="214"/>
      <c r="R191" s="214"/>
      <c r="S191" s="214"/>
      <c r="T191" s="214"/>
      <c r="U191" s="214"/>
      <c r="V191" s="214"/>
    </row>
    <row r="192" spans="1:22">
      <c r="A192" s="133" t="s">
        <v>202</v>
      </c>
      <c r="B192" s="139" t="s">
        <v>205</v>
      </c>
      <c r="C192" s="141" t="s">
        <v>84</v>
      </c>
      <c r="D192" s="238">
        <v>100</v>
      </c>
      <c r="E192" s="48">
        <v>0.35</v>
      </c>
      <c r="F192" s="48">
        <v>8</v>
      </c>
      <c r="G192" s="49">
        <f t="shared" si="11"/>
        <v>2.8</v>
      </c>
      <c r="H192" s="48">
        <v>0.88</v>
      </c>
      <c r="I192" s="50">
        <v>0.05</v>
      </c>
      <c r="J192" s="51">
        <f t="shared" si="12"/>
        <v>3.7299999999999995</v>
      </c>
      <c r="K192" s="52">
        <f t="shared" si="13"/>
        <v>35</v>
      </c>
      <c r="L192" s="50">
        <f t="shared" si="16"/>
        <v>364</v>
      </c>
      <c r="M192" s="50">
        <f t="shared" si="17"/>
        <v>114.4</v>
      </c>
      <c r="N192" s="50">
        <f t="shared" si="14"/>
        <v>5</v>
      </c>
      <c r="O192" s="28">
        <f t="shared" si="15"/>
        <v>483.4</v>
      </c>
      <c r="P192" s="193"/>
      <c r="Q192" s="214"/>
      <c r="R192" s="214"/>
      <c r="S192" s="214"/>
      <c r="T192" s="214"/>
      <c r="U192" s="214"/>
      <c r="V192" s="214"/>
    </row>
    <row r="193" spans="1:22">
      <c r="A193" s="133" t="s">
        <v>204</v>
      </c>
      <c r="B193" s="139" t="s">
        <v>207</v>
      </c>
      <c r="C193" s="141" t="s">
        <v>81</v>
      </c>
      <c r="D193" s="238">
        <v>11</v>
      </c>
      <c r="E193" s="48">
        <v>1.5</v>
      </c>
      <c r="F193" s="48">
        <v>8</v>
      </c>
      <c r="G193" s="49">
        <f t="shared" si="11"/>
        <v>12</v>
      </c>
      <c r="H193" s="48">
        <v>34.799999999999997</v>
      </c>
      <c r="I193" s="50">
        <v>0.15</v>
      </c>
      <c r="J193" s="51">
        <f t="shared" si="12"/>
        <v>46.949999999999996</v>
      </c>
      <c r="K193" s="52">
        <f t="shared" si="13"/>
        <v>16.5</v>
      </c>
      <c r="L193" s="50">
        <f t="shared" si="16"/>
        <v>171.6</v>
      </c>
      <c r="M193" s="50">
        <f t="shared" si="17"/>
        <v>497.64000000000004</v>
      </c>
      <c r="N193" s="50">
        <f t="shared" si="14"/>
        <v>1.65</v>
      </c>
      <c r="O193" s="28">
        <f t="shared" si="15"/>
        <v>670.89</v>
      </c>
      <c r="P193" s="193"/>
      <c r="Q193" s="214"/>
      <c r="R193" s="214"/>
      <c r="S193" s="214"/>
      <c r="T193" s="214"/>
      <c r="U193" s="214"/>
      <c r="V193" s="214"/>
    </row>
    <row r="194" spans="1:22">
      <c r="A194" s="133" t="s">
        <v>206</v>
      </c>
      <c r="B194" s="139" t="s">
        <v>376</v>
      </c>
      <c r="C194" s="141" t="s">
        <v>81</v>
      </c>
      <c r="D194" s="238">
        <v>48</v>
      </c>
      <c r="E194" s="48">
        <v>1.5</v>
      </c>
      <c r="F194" s="48">
        <v>8</v>
      </c>
      <c r="G194" s="49">
        <f t="shared" si="11"/>
        <v>12</v>
      </c>
      <c r="H194" s="48">
        <v>37.35</v>
      </c>
      <c r="I194" s="50">
        <v>0.15</v>
      </c>
      <c r="J194" s="51">
        <f t="shared" si="12"/>
        <v>49.5</v>
      </c>
      <c r="K194" s="52">
        <f t="shared" si="13"/>
        <v>72</v>
      </c>
      <c r="L194" s="50">
        <f t="shared" si="16"/>
        <v>748.80000000000007</v>
      </c>
      <c r="M194" s="50">
        <f t="shared" si="17"/>
        <v>2330.64</v>
      </c>
      <c r="N194" s="50">
        <f t="shared" si="14"/>
        <v>7.2</v>
      </c>
      <c r="O194" s="28">
        <f t="shared" si="15"/>
        <v>3086.64</v>
      </c>
      <c r="P194" s="193"/>
      <c r="Q194" s="214"/>
      <c r="R194" s="214"/>
      <c r="S194" s="214"/>
      <c r="T194" s="214"/>
      <c r="U194" s="214"/>
      <c r="V194" s="214"/>
    </row>
    <row r="195" spans="1:22">
      <c r="A195" s="133" t="s">
        <v>208</v>
      </c>
      <c r="B195" s="139" t="s">
        <v>209</v>
      </c>
      <c r="C195" s="141" t="s">
        <v>81</v>
      </c>
      <c r="D195" s="238">
        <v>71</v>
      </c>
      <c r="E195" s="48">
        <v>1.5</v>
      </c>
      <c r="F195" s="48">
        <v>8</v>
      </c>
      <c r="G195" s="49">
        <f t="shared" si="11"/>
        <v>12</v>
      </c>
      <c r="H195" s="48">
        <v>30.66</v>
      </c>
      <c r="I195" s="50">
        <v>0.15</v>
      </c>
      <c r="J195" s="51">
        <f t="shared" si="12"/>
        <v>42.809999999999995</v>
      </c>
      <c r="K195" s="52">
        <f t="shared" si="13"/>
        <v>106.5</v>
      </c>
      <c r="L195" s="50">
        <f t="shared" si="16"/>
        <v>1107.6000000000001</v>
      </c>
      <c r="M195" s="50">
        <f t="shared" si="17"/>
        <v>2829.9180000000001</v>
      </c>
      <c r="N195" s="50">
        <f t="shared" si="14"/>
        <v>10.65</v>
      </c>
      <c r="O195" s="28">
        <f t="shared" si="15"/>
        <v>3948.1680000000001</v>
      </c>
      <c r="P195" s="193"/>
      <c r="Q195" s="214"/>
      <c r="R195" s="214"/>
      <c r="S195" s="214"/>
      <c r="T195" s="214"/>
      <c r="U195" s="214"/>
      <c r="V195" s="214"/>
    </row>
    <row r="196" spans="1:22">
      <c r="A196" s="133" t="s">
        <v>210</v>
      </c>
      <c r="B196" s="139" t="s">
        <v>211</v>
      </c>
      <c r="C196" s="141" t="s">
        <v>81</v>
      </c>
      <c r="D196" s="238">
        <v>18</v>
      </c>
      <c r="E196" s="48">
        <v>1.5</v>
      </c>
      <c r="F196" s="48">
        <v>8</v>
      </c>
      <c r="G196" s="49">
        <f t="shared" si="11"/>
        <v>12</v>
      </c>
      <c r="H196" s="48">
        <v>20.7</v>
      </c>
      <c r="I196" s="50">
        <v>0.15</v>
      </c>
      <c r="J196" s="51">
        <f t="shared" si="12"/>
        <v>32.85</v>
      </c>
      <c r="K196" s="52">
        <f t="shared" si="13"/>
        <v>27</v>
      </c>
      <c r="L196" s="50">
        <f t="shared" si="16"/>
        <v>280.8</v>
      </c>
      <c r="M196" s="50">
        <f t="shared" si="17"/>
        <v>484.38000000000005</v>
      </c>
      <c r="N196" s="50">
        <f t="shared" si="14"/>
        <v>2.7</v>
      </c>
      <c r="O196" s="28">
        <f t="shared" si="15"/>
        <v>767.88000000000011</v>
      </c>
      <c r="P196" s="193"/>
      <c r="Q196" s="214"/>
      <c r="R196" s="214"/>
      <c r="S196" s="214"/>
      <c r="T196" s="214"/>
      <c r="U196" s="214"/>
      <c r="V196" s="214"/>
    </row>
    <row r="197" spans="1:22" ht="31.5">
      <c r="A197" s="133" t="s">
        <v>212</v>
      </c>
      <c r="B197" s="139" t="s">
        <v>213</v>
      </c>
      <c r="C197" s="141" t="s">
        <v>81</v>
      </c>
      <c r="D197" s="238">
        <v>25</v>
      </c>
      <c r="E197" s="48">
        <v>1.5</v>
      </c>
      <c r="F197" s="48">
        <v>8</v>
      </c>
      <c r="G197" s="49">
        <f t="shared" si="11"/>
        <v>12</v>
      </c>
      <c r="H197" s="48">
        <v>49.23</v>
      </c>
      <c r="I197" s="50">
        <v>0.15</v>
      </c>
      <c r="J197" s="51">
        <f t="shared" si="12"/>
        <v>61.379999999999995</v>
      </c>
      <c r="K197" s="52">
        <f t="shared" si="13"/>
        <v>37.5</v>
      </c>
      <c r="L197" s="50">
        <f t="shared" si="16"/>
        <v>390</v>
      </c>
      <c r="M197" s="50">
        <f t="shared" si="17"/>
        <v>1599.9750000000001</v>
      </c>
      <c r="N197" s="50">
        <f t="shared" si="14"/>
        <v>3.75</v>
      </c>
      <c r="O197" s="28">
        <f t="shared" si="15"/>
        <v>1993.7250000000001</v>
      </c>
      <c r="P197" s="193"/>
      <c r="Q197" s="214"/>
      <c r="R197" s="214"/>
      <c r="S197" s="214"/>
      <c r="T197" s="214"/>
      <c r="U197" s="214"/>
      <c r="V197" s="214"/>
    </row>
    <row r="198" spans="1:22">
      <c r="A198" s="133" t="s">
        <v>214</v>
      </c>
      <c r="B198" s="134" t="s">
        <v>215</v>
      </c>
      <c r="C198" s="141" t="s">
        <v>81</v>
      </c>
      <c r="D198" s="238">
        <v>63</v>
      </c>
      <c r="E198" s="48">
        <v>1.5</v>
      </c>
      <c r="F198" s="48">
        <v>8</v>
      </c>
      <c r="G198" s="49">
        <f t="shared" si="11"/>
        <v>12</v>
      </c>
      <c r="H198" s="48">
        <v>33.08</v>
      </c>
      <c r="I198" s="50">
        <v>0.15</v>
      </c>
      <c r="J198" s="51">
        <f t="shared" si="12"/>
        <v>45.23</v>
      </c>
      <c r="K198" s="52">
        <f t="shared" si="13"/>
        <v>94.5</v>
      </c>
      <c r="L198" s="50">
        <f t="shared" si="16"/>
        <v>982.80000000000007</v>
      </c>
      <c r="M198" s="50">
        <f t="shared" si="17"/>
        <v>2709.252</v>
      </c>
      <c r="N198" s="50">
        <f t="shared" si="14"/>
        <v>9.4499999999999993</v>
      </c>
      <c r="O198" s="28">
        <f t="shared" si="15"/>
        <v>3701.502</v>
      </c>
      <c r="P198" s="193"/>
      <c r="Q198" s="214"/>
      <c r="R198" s="214"/>
      <c r="S198" s="214"/>
      <c r="T198" s="214"/>
      <c r="U198" s="214"/>
      <c r="V198" s="214"/>
    </row>
    <row r="199" spans="1:22" ht="31.5">
      <c r="A199" s="133" t="s">
        <v>216</v>
      </c>
      <c r="B199" s="134" t="s">
        <v>377</v>
      </c>
      <c r="C199" s="141" t="s">
        <v>81</v>
      </c>
      <c r="D199" s="238">
        <v>8</v>
      </c>
      <c r="E199" s="48">
        <v>1.5</v>
      </c>
      <c r="F199" s="48">
        <v>8</v>
      </c>
      <c r="G199" s="49">
        <f t="shared" si="11"/>
        <v>12</v>
      </c>
      <c r="H199" s="48">
        <v>20.65</v>
      </c>
      <c r="I199" s="50">
        <v>0.15</v>
      </c>
      <c r="J199" s="51">
        <f t="shared" si="12"/>
        <v>32.799999999999997</v>
      </c>
      <c r="K199" s="52">
        <f t="shared" si="13"/>
        <v>12</v>
      </c>
      <c r="L199" s="50">
        <f t="shared" si="16"/>
        <v>124.80000000000001</v>
      </c>
      <c r="M199" s="50">
        <f t="shared" si="17"/>
        <v>214.76</v>
      </c>
      <c r="N199" s="50">
        <f t="shared" si="14"/>
        <v>1.2</v>
      </c>
      <c r="O199" s="28">
        <f t="shared" si="15"/>
        <v>340.76</v>
      </c>
      <c r="P199" s="193"/>
      <c r="Q199" s="214"/>
      <c r="R199" s="214"/>
      <c r="S199" s="214"/>
      <c r="T199" s="214"/>
      <c r="U199" s="214"/>
      <c r="V199" s="214"/>
    </row>
    <row r="200" spans="1:22">
      <c r="A200" s="133" t="s">
        <v>218</v>
      </c>
      <c r="B200" s="137" t="s">
        <v>219</v>
      </c>
      <c r="C200" s="141" t="s">
        <v>81</v>
      </c>
      <c r="D200" s="238">
        <v>1</v>
      </c>
      <c r="E200" s="48">
        <v>1.5</v>
      </c>
      <c r="F200" s="48">
        <v>8</v>
      </c>
      <c r="G200" s="49">
        <f t="shared" si="11"/>
        <v>12</v>
      </c>
      <c r="H200" s="48">
        <v>2.42</v>
      </c>
      <c r="I200" s="50">
        <v>0.15</v>
      </c>
      <c r="J200" s="51">
        <f t="shared" si="12"/>
        <v>14.57</v>
      </c>
      <c r="K200" s="52">
        <f t="shared" si="13"/>
        <v>1.5</v>
      </c>
      <c r="L200" s="50">
        <f t="shared" si="16"/>
        <v>15.600000000000001</v>
      </c>
      <c r="M200" s="50">
        <f t="shared" si="17"/>
        <v>3.1459999999999999</v>
      </c>
      <c r="N200" s="50">
        <f t="shared" si="14"/>
        <v>0.15</v>
      </c>
      <c r="O200" s="28">
        <f t="shared" si="15"/>
        <v>18.896000000000001</v>
      </c>
      <c r="P200" s="193"/>
      <c r="Q200" s="214"/>
      <c r="R200" s="214"/>
      <c r="S200" s="214"/>
      <c r="T200" s="214"/>
      <c r="U200" s="214"/>
      <c r="V200" s="214"/>
    </row>
    <row r="201" spans="1:22">
      <c r="A201" s="133" t="s">
        <v>220</v>
      </c>
      <c r="B201" s="139" t="s">
        <v>221</v>
      </c>
      <c r="C201" s="141" t="s">
        <v>81</v>
      </c>
      <c r="D201" s="238">
        <v>11</v>
      </c>
      <c r="E201" s="48">
        <v>1.5</v>
      </c>
      <c r="F201" s="48">
        <v>8</v>
      </c>
      <c r="G201" s="49">
        <f t="shared" si="11"/>
        <v>12</v>
      </c>
      <c r="H201" s="48">
        <v>61.77</v>
      </c>
      <c r="I201" s="50">
        <v>0.15</v>
      </c>
      <c r="J201" s="51">
        <f t="shared" si="12"/>
        <v>73.920000000000016</v>
      </c>
      <c r="K201" s="52">
        <f t="shared" si="13"/>
        <v>16.5</v>
      </c>
      <c r="L201" s="50">
        <f t="shared" si="16"/>
        <v>171.6</v>
      </c>
      <c r="M201" s="50">
        <f t="shared" si="17"/>
        <v>883.31100000000004</v>
      </c>
      <c r="N201" s="50">
        <f t="shared" si="14"/>
        <v>1.65</v>
      </c>
      <c r="O201" s="28">
        <f t="shared" si="15"/>
        <v>1056.5610000000001</v>
      </c>
      <c r="P201" s="193"/>
      <c r="Q201" s="214"/>
      <c r="R201" s="214"/>
      <c r="S201" s="214"/>
      <c r="T201" s="214"/>
      <c r="U201" s="214"/>
      <c r="V201" s="214"/>
    </row>
    <row r="202" spans="1:22">
      <c r="A202" s="133" t="s">
        <v>222</v>
      </c>
      <c r="B202" s="139" t="s">
        <v>378</v>
      </c>
      <c r="C202" s="141" t="s">
        <v>81</v>
      </c>
      <c r="D202" s="238">
        <v>41</v>
      </c>
      <c r="E202" s="48">
        <v>1.5</v>
      </c>
      <c r="F202" s="48">
        <v>8</v>
      </c>
      <c r="G202" s="49">
        <f t="shared" si="11"/>
        <v>12</v>
      </c>
      <c r="H202" s="48">
        <v>85.3</v>
      </c>
      <c r="I202" s="50">
        <v>0.15</v>
      </c>
      <c r="J202" s="51">
        <f t="shared" si="12"/>
        <v>97.45</v>
      </c>
      <c r="K202" s="52">
        <f t="shared" si="13"/>
        <v>61.5</v>
      </c>
      <c r="L202" s="50">
        <f t="shared" si="16"/>
        <v>639.6</v>
      </c>
      <c r="M202" s="50">
        <f t="shared" si="17"/>
        <v>4546.4900000000007</v>
      </c>
      <c r="N202" s="50">
        <f t="shared" si="14"/>
        <v>6.15</v>
      </c>
      <c r="O202" s="28">
        <f t="shared" si="15"/>
        <v>5192.2400000000007</v>
      </c>
      <c r="P202" s="193"/>
      <c r="Q202" s="214"/>
      <c r="R202" s="214"/>
      <c r="S202" s="214"/>
      <c r="T202" s="214"/>
      <c r="U202" s="214"/>
      <c r="V202" s="214"/>
    </row>
    <row r="203" spans="1:22" ht="31.5">
      <c r="A203" s="133" t="s">
        <v>224</v>
      </c>
      <c r="B203" s="139" t="s">
        <v>379</v>
      </c>
      <c r="C203" s="141" t="s">
        <v>81</v>
      </c>
      <c r="D203" s="238">
        <v>7</v>
      </c>
      <c r="E203" s="48">
        <v>1.5</v>
      </c>
      <c r="F203" s="48">
        <v>8</v>
      </c>
      <c r="G203" s="49">
        <f t="shared" si="11"/>
        <v>12</v>
      </c>
      <c r="H203" s="48">
        <v>101.62</v>
      </c>
      <c r="I203" s="50">
        <v>0.15</v>
      </c>
      <c r="J203" s="51">
        <f t="shared" si="12"/>
        <v>113.77000000000001</v>
      </c>
      <c r="K203" s="52">
        <f t="shared" si="13"/>
        <v>10.5</v>
      </c>
      <c r="L203" s="50">
        <f t="shared" si="16"/>
        <v>109.2</v>
      </c>
      <c r="M203" s="50">
        <f t="shared" si="17"/>
        <v>924.74200000000008</v>
      </c>
      <c r="N203" s="50">
        <f t="shared" si="14"/>
        <v>1.05</v>
      </c>
      <c r="O203" s="28">
        <f t="shared" si="15"/>
        <v>1034.992</v>
      </c>
      <c r="P203" s="193"/>
      <c r="Q203" s="214"/>
      <c r="R203" s="214"/>
      <c r="S203" s="214"/>
      <c r="T203" s="214"/>
      <c r="U203" s="214"/>
      <c r="V203" s="214"/>
    </row>
    <row r="204" spans="1:22">
      <c r="A204" s="133" t="s">
        <v>226</v>
      </c>
      <c r="B204" s="137" t="s">
        <v>380</v>
      </c>
      <c r="C204" s="141" t="s">
        <v>81</v>
      </c>
      <c r="D204" s="238">
        <v>6</v>
      </c>
      <c r="E204" s="48">
        <v>1.5</v>
      </c>
      <c r="F204" s="48">
        <v>8</v>
      </c>
      <c r="G204" s="49">
        <f t="shared" si="11"/>
        <v>12</v>
      </c>
      <c r="H204" s="48">
        <v>12.6</v>
      </c>
      <c r="I204" s="50">
        <v>0.15</v>
      </c>
      <c r="J204" s="51">
        <f t="shared" si="12"/>
        <v>24.75</v>
      </c>
      <c r="K204" s="52">
        <f t="shared" si="13"/>
        <v>9</v>
      </c>
      <c r="L204" s="50">
        <f t="shared" si="16"/>
        <v>93.600000000000009</v>
      </c>
      <c r="M204" s="50">
        <f t="shared" si="17"/>
        <v>98.28</v>
      </c>
      <c r="N204" s="50">
        <f t="shared" si="14"/>
        <v>0.9</v>
      </c>
      <c r="O204" s="28">
        <f t="shared" si="15"/>
        <v>192.78</v>
      </c>
      <c r="P204" s="193"/>
      <c r="Q204" s="214"/>
      <c r="R204" s="214"/>
      <c r="S204" s="214"/>
      <c r="T204" s="214"/>
      <c r="U204" s="214"/>
      <c r="V204" s="214"/>
    </row>
    <row r="205" spans="1:22">
      <c r="A205" s="133" t="s">
        <v>228</v>
      </c>
      <c r="B205" s="139" t="s">
        <v>381</v>
      </c>
      <c r="C205" s="141" t="s">
        <v>81</v>
      </c>
      <c r="D205" s="238">
        <v>19</v>
      </c>
      <c r="E205" s="48">
        <v>1.5</v>
      </c>
      <c r="F205" s="48">
        <v>8</v>
      </c>
      <c r="G205" s="49">
        <f t="shared" si="11"/>
        <v>12</v>
      </c>
      <c r="H205" s="48">
        <v>20.7</v>
      </c>
      <c r="I205" s="50">
        <v>0.15</v>
      </c>
      <c r="J205" s="51">
        <f t="shared" si="12"/>
        <v>32.85</v>
      </c>
      <c r="K205" s="52">
        <f t="shared" si="13"/>
        <v>28.5</v>
      </c>
      <c r="L205" s="50">
        <f t="shared" si="16"/>
        <v>296.40000000000003</v>
      </c>
      <c r="M205" s="50">
        <f t="shared" si="17"/>
        <v>511.29</v>
      </c>
      <c r="N205" s="50">
        <f t="shared" si="14"/>
        <v>2.85</v>
      </c>
      <c r="O205" s="28">
        <f t="shared" si="15"/>
        <v>810.54000000000008</v>
      </c>
      <c r="P205" s="193"/>
      <c r="Q205" s="214"/>
      <c r="R205" s="214"/>
      <c r="S205" s="214"/>
      <c r="T205" s="214"/>
      <c r="U205" s="214"/>
      <c r="V205" s="214"/>
    </row>
    <row r="206" spans="1:22">
      <c r="A206" s="133" t="s">
        <v>230</v>
      </c>
      <c r="B206" s="139" t="s">
        <v>223</v>
      </c>
      <c r="C206" s="141" t="s">
        <v>81</v>
      </c>
      <c r="D206" s="238">
        <v>11</v>
      </c>
      <c r="E206" s="48">
        <v>1.5</v>
      </c>
      <c r="F206" s="48">
        <v>8</v>
      </c>
      <c r="G206" s="49">
        <f t="shared" si="11"/>
        <v>12</v>
      </c>
      <c r="H206" s="48">
        <v>31.8</v>
      </c>
      <c r="I206" s="50">
        <v>0.15</v>
      </c>
      <c r="J206" s="51">
        <f t="shared" si="12"/>
        <v>43.949999999999996</v>
      </c>
      <c r="K206" s="52">
        <f t="shared" si="13"/>
        <v>16.5</v>
      </c>
      <c r="L206" s="50">
        <f t="shared" si="16"/>
        <v>171.6</v>
      </c>
      <c r="M206" s="50">
        <f t="shared" si="17"/>
        <v>454.74</v>
      </c>
      <c r="N206" s="50">
        <f t="shared" si="14"/>
        <v>1.65</v>
      </c>
      <c r="O206" s="28">
        <f t="shared" si="15"/>
        <v>627.99</v>
      </c>
      <c r="P206" s="193"/>
      <c r="Q206" s="214"/>
      <c r="R206" s="214"/>
      <c r="S206" s="214"/>
      <c r="T206" s="214"/>
      <c r="U206" s="214"/>
      <c r="V206" s="214"/>
    </row>
    <row r="207" spans="1:22">
      <c r="A207" s="133" t="s">
        <v>232</v>
      </c>
      <c r="B207" s="139" t="s">
        <v>225</v>
      </c>
      <c r="C207" s="141" t="s">
        <v>81</v>
      </c>
      <c r="D207" s="238">
        <v>17</v>
      </c>
      <c r="E207" s="48">
        <v>1.5</v>
      </c>
      <c r="F207" s="48">
        <v>8</v>
      </c>
      <c r="G207" s="49">
        <f t="shared" si="11"/>
        <v>12</v>
      </c>
      <c r="H207" s="48">
        <v>24.16</v>
      </c>
      <c r="I207" s="50">
        <v>0.15</v>
      </c>
      <c r="J207" s="51">
        <f t="shared" si="12"/>
        <v>36.309999999999995</v>
      </c>
      <c r="K207" s="52">
        <f t="shared" si="13"/>
        <v>25.5</v>
      </c>
      <c r="L207" s="50">
        <f t="shared" si="16"/>
        <v>265.2</v>
      </c>
      <c r="M207" s="50">
        <f t="shared" si="17"/>
        <v>533.93600000000004</v>
      </c>
      <c r="N207" s="50">
        <f t="shared" si="14"/>
        <v>2.5499999999999998</v>
      </c>
      <c r="O207" s="28">
        <f t="shared" si="15"/>
        <v>801.68599999999992</v>
      </c>
      <c r="P207" s="193"/>
      <c r="Q207" s="214"/>
      <c r="R207" s="214"/>
      <c r="S207" s="214"/>
      <c r="T207" s="214"/>
      <c r="U207" s="214"/>
      <c r="V207" s="214"/>
    </row>
    <row r="208" spans="1:22">
      <c r="A208" s="133" t="s">
        <v>234</v>
      </c>
      <c r="B208" s="139" t="s">
        <v>382</v>
      </c>
      <c r="C208" s="141" t="s">
        <v>81</v>
      </c>
      <c r="D208" s="238">
        <v>3</v>
      </c>
      <c r="E208" s="48">
        <v>1.5</v>
      </c>
      <c r="F208" s="48">
        <v>8</v>
      </c>
      <c r="G208" s="49">
        <f t="shared" si="11"/>
        <v>12</v>
      </c>
      <c r="H208" s="48">
        <v>27.35</v>
      </c>
      <c r="I208" s="50">
        <v>0.15</v>
      </c>
      <c r="J208" s="51">
        <f t="shared" si="12"/>
        <v>39.5</v>
      </c>
      <c r="K208" s="52">
        <f t="shared" si="13"/>
        <v>4.5</v>
      </c>
      <c r="L208" s="50">
        <f t="shared" si="16"/>
        <v>46.800000000000004</v>
      </c>
      <c r="M208" s="50">
        <f t="shared" si="17"/>
        <v>106.66500000000001</v>
      </c>
      <c r="N208" s="50">
        <f t="shared" si="14"/>
        <v>0.45</v>
      </c>
      <c r="O208" s="28">
        <f t="shared" si="15"/>
        <v>153.91499999999999</v>
      </c>
      <c r="P208" s="193"/>
      <c r="Q208" s="214"/>
      <c r="R208" s="214"/>
      <c r="S208" s="214"/>
      <c r="T208" s="214"/>
      <c r="U208" s="214"/>
      <c r="V208" s="214"/>
    </row>
    <row r="209" spans="1:22">
      <c r="A209" s="133" t="s">
        <v>236</v>
      </c>
      <c r="B209" s="139" t="s">
        <v>383</v>
      </c>
      <c r="C209" s="141" t="s">
        <v>81</v>
      </c>
      <c r="D209" s="238">
        <v>3</v>
      </c>
      <c r="E209" s="48">
        <v>1.5</v>
      </c>
      <c r="F209" s="48">
        <v>8</v>
      </c>
      <c r="G209" s="49">
        <f t="shared" si="11"/>
        <v>12</v>
      </c>
      <c r="H209" s="48">
        <v>113.61</v>
      </c>
      <c r="I209" s="50">
        <v>0.15</v>
      </c>
      <c r="J209" s="51">
        <f t="shared" si="12"/>
        <v>125.76</v>
      </c>
      <c r="K209" s="52">
        <f t="shared" si="13"/>
        <v>4.5</v>
      </c>
      <c r="L209" s="50">
        <f t="shared" si="16"/>
        <v>46.800000000000004</v>
      </c>
      <c r="M209" s="50">
        <f t="shared" si="17"/>
        <v>443.07900000000001</v>
      </c>
      <c r="N209" s="50">
        <f t="shared" si="14"/>
        <v>0.45</v>
      </c>
      <c r="O209" s="28">
        <f t="shared" si="15"/>
        <v>490.32900000000001</v>
      </c>
      <c r="P209" s="193"/>
      <c r="Q209" s="214"/>
      <c r="R209" s="214"/>
      <c r="S209" s="214"/>
      <c r="T209" s="214"/>
      <c r="U209" s="214"/>
      <c r="V209" s="214"/>
    </row>
    <row r="210" spans="1:22" ht="31.5">
      <c r="A210" s="133" t="s">
        <v>238</v>
      </c>
      <c r="B210" s="139" t="s">
        <v>384</v>
      </c>
      <c r="C210" s="141" t="s">
        <v>81</v>
      </c>
      <c r="D210" s="238">
        <v>6</v>
      </c>
      <c r="E210" s="48">
        <v>1.5</v>
      </c>
      <c r="F210" s="48">
        <v>8</v>
      </c>
      <c r="G210" s="49">
        <f t="shared" si="11"/>
        <v>12</v>
      </c>
      <c r="H210" s="48">
        <v>82.53</v>
      </c>
      <c r="I210" s="50">
        <v>0.15</v>
      </c>
      <c r="J210" s="51">
        <f t="shared" si="12"/>
        <v>94.68</v>
      </c>
      <c r="K210" s="52">
        <f t="shared" si="13"/>
        <v>9</v>
      </c>
      <c r="L210" s="50">
        <f t="shared" si="16"/>
        <v>93.600000000000009</v>
      </c>
      <c r="M210" s="50">
        <f t="shared" si="17"/>
        <v>643.73400000000004</v>
      </c>
      <c r="N210" s="50">
        <f t="shared" si="14"/>
        <v>0.9</v>
      </c>
      <c r="O210" s="28">
        <f t="shared" si="15"/>
        <v>738.23400000000004</v>
      </c>
      <c r="P210" s="193"/>
      <c r="Q210" s="214"/>
      <c r="R210" s="214"/>
      <c r="S210" s="214"/>
      <c r="T210" s="214"/>
      <c r="U210" s="214"/>
      <c r="V210" s="214"/>
    </row>
    <row r="211" spans="1:22">
      <c r="A211" s="133" t="s">
        <v>240</v>
      </c>
      <c r="B211" s="134" t="s">
        <v>233</v>
      </c>
      <c r="C211" s="141" t="s">
        <v>81</v>
      </c>
      <c r="D211" s="238">
        <v>12</v>
      </c>
      <c r="E211" s="48">
        <v>2.4500000000000002</v>
      </c>
      <c r="F211" s="48">
        <v>8</v>
      </c>
      <c r="G211" s="49">
        <f t="shared" si="11"/>
        <v>19.600000000000001</v>
      </c>
      <c r="H211" s="48">
        <v>26.25</v>
      </c>
      <c r="I211" s="50">
        <v>0.15</v>
      </c>
      <c r="J211" s="51">
        <f t="shared" si="12"/>
        <v>46</v>
      </c>
      <c r="K211" s="52">
        <f t="shared" si="13"/>
        <v>29.4</v>
      </c>
      <c r="L211" s="50">
        <f t="shared" si="16"/>
        <v>305.76</v>
      </c>
      <c r="M211" s="50">
        <f t="shared" si="17"/>
        <v>409.5</v>
      </c>
      <c r="N211" s="50">
        <f t="shared" si="14"/>
        <v>1.8</v>
      </c>
      <c r="O211" s="28">
        <f t="shared" si="15"/>
        <v>717.06</v>
      </c>
      <c r="P211" s="193"/>
      <c r="Q211" s="214"/>
      <c r="R211" s="214"/>
      <c r="S211" s="214"/>
      <c r="T211" s="214"/>
      <c r="U211" s="214"/>
      <c r="V211" s="214"/>
    </row>
    <row r="212" spans="1:22">
      <c r="A212" s="133" t="s">
        <v>242</v>
      </c>
      <c r="B212" s="137" t="s">
        <v>235</v>
      </c>
      <c r="C212" s="135" t="s">
        <v>84</v>
      </c>
      <c r="D212" s="238">
        <v>400</v>
      </c>
      <c r="E212" s="48">
        <v>0.25</v>
      </c>
      <c r="F212" s="48">
        <v>8</v>
      </c>
      <c r="G212" s="49">
        <f t="shared" si="11"/>
        <v>2</v>
      </c>
      <c r="H212" s="48">
        <v>2.39</v>
      </c>
      <c r="I212" s="50">
        <v>0.15</v>
      </c>
      <c r="J212" s="51">
        <f t="shared" si="12"/>
        <v>4.5400000000000009</v>
      </c>
      <c r="K212" s="52">
        <f t="shared" si="13"/>
        <v>100</v>
      </c>
      <c r="L212" s="50">
        <f t="shared" si="16"/>
        <v>1040</v>
      </c>
      <c r="M212" s="50">
        <f t="shared" si="17"/>
        <v>1242.8</v>
      </c>
      <c r="N212" s="50">
        <f t="shared" si="14"/>
        <v>60</v>
      </c>
      <c r="O212" s="28">
        <f t="shared" si="15"/>
        <v>2342.8000000000002</v>
      </c>
      <c r="P212" s="193"/>
      <c r="Q212" s="214"/>
      <c r="R212" s="214"/>
      <c r="S212" s="214"/>
      <c r="T212" s="214"/>
      <c r="U212" s="214"/>
      <c r="V212" s="214"/>
    </row>
    <row r="213" spans="1:22">
      <c r="A213" s="133" t="s">
        <v>244</v>
      </c>
      <c r="B213" s="139" t="s">
        <v>385</v>
      </c>
      <c r="C213" s="135" t="s">
        <v>105</v>
      </c>
      <c r="D213" s="238">
        <v>1</v>
      </c>
      <c r="E213" s="48">
        <v>6.5</v>
      </c>
      <c r="F213" s="48">
        <v>8</v>
      </c>
      <c r="G213" s="49">
        <f t="shared" si="11"/>
        <v>52</v>
      </c>
      <c r="H213" s="48">
        <v>306.25</v>
      </c>
      <c r="I213" s="50">
        <v>0.15</v>
      </c>
      <c r="J213" s="51">
        <f t="shared" si="12"/>
        <v>358.4</v>
      </c>
      <c r="K213" s="52">
        <f t="shared" si="13"/>
        <v>6.5</v>
      </c>
      <c r="L213" s="50">
        <f t="shared" si="16"/>
        <v>67.600000000000009</v>
      </c>
      <c r="M213" s="50">
        <f t="shared" si="17"/>
        <v>398.125</v>
      </c>
      <c r="N213" s="50">
        <f t="shared" si="14"/>
        <v>0.15</v>
      </c>
      <c r="O213" s="28">
        <f t="shared" si="15"/>
        <v>465.875</v>
      </c>
      <c r="P213" s="193"/>
      <c r="Q213" s="214"/>
      <c r="R213" s="214"/>
      <c r="S213" s="214"/>
      <c r="T213" s="214"/>
      <c r="U213" s="214"/>
      <c r="V213" s="214"/>
    </row>
    <row r="214" spans="1:22">
      <c r="A214" s="133" t="s">
        <v>246</v>
      </c>
      <c r="B214" s="134" t="s">
        <v>386</v>
      </c>
      <c r="C214" s="135" t="s">
        <v>105</v>
      </c>
      <c r="D214" s="238">
        <v>1</v>
      </c>
      <c r="E214" s="48">
        <v>6.5</v>
      </c>
      <c r="F214" s="48">
        <v>8</v>
      </c>
      <c r="G214" s="49">
        <f t="shared" si="11"/>
        <v>52</v>
      </c>
      <c r="H214" s="48">
        <v>400</v>
      </c>
      <c r="I214" s="50">
        <v>0.15</v>
      </c>
      <c r="J214" s="51">
        <f t="shared" si="12"/>
        <v>452.15</v>
      </c>
      <c r="K214" s="52">
        <f t="shared" si="13"/>
        <v>6.5</v>
      </c>
      <c r="L214" s="50">
        <f t="shared" si="16"/>
        <v>67.600000000000009</v>
      </c>
      <c r="M214" s="50">
        <f t="shared" si="17"/>
        <v>520</v>
      </c>
      <c r="N214" s="50">
        <f t="shared" si="14"/>
        <v>0.15</v>
      </c>
      <c r="O214" s="28">
        <f t="shared" si="15"/>
        <v>587.75</v>
      </c>
      <c r="P214" s="193"/>
      <c r="Q214" s="214"/>
      <c r="R214" s="214"/>
      <c r="S214" s="214"/>
      <c r="T214" s="214"/>
      <c r="U214" s="214"/>
      <c r="V214" s="214"/>
    </row>
    <row r="215" spans="1:22">
      <c r="A215" s="133" t="s">
        <v>248</v>
      </c>
      <c r="B215" s="137" t="s">
        <v>387</v>
      </c>
      <c r="C215" s="135" t="s">
        <v>105</v>
      </c>
      <c r="D215" s="238">
        <v>1</v>
      </c>
      <c r="E215" s="48">
        <v>6.5</v>
      </c>
      <c r="F215" s="48">
        <v>8</v>
      </c>
      <c r="G215" s="49">
        <f t="shared" si="11"/>
        <v>52</v>
      </c>
      <c r="H215" s="48">
        <v>775</v>
      </c>
      <c r="I215" s="50">
        <v>0.15</v>
      </c>
      <c r="J215" s="51">
        <f t="shared" si="12"/>
        <v>827.15</v>
      </c>
      <c r="K215" s="52">
        <f t="shared" si="13"/>
        <v>6.5</v>
      </c>
      <c r="L215" s="50">
        <f t="shared" si="16"/>
        <v>67.600000000000009</v>
      </c>
      <c r="M215" s="50">
        <f t="shared" si="17"/>
        <v>1007.5</v>
      </c>
      <c r="N215" s="50">
        <f t="shared" si="14"/>
        <v>0.15</v>
      </c>
      <c r="O215" s="28">
        <f t="shared" si="15"/>
        <v>1075.25</v>
      </c>
      <c r="P215" s="193"/>
      <c r="Q215" s="214"/>
      <c r="R215" s="214"/>
      <c r="S215" s="214"/>
      <c r="T215" s="214"/>
      <c r="U215" s="214"/>
      <c r="V215" s="214"/>
    </row>
    <row r="216" spans="1:22">
      <c r="A216" s="133" t="s">
        <v>250</v>
      </c>
      <c r="B216" s="139" t="s">
        <v>388</v>
      </c>
      <c r="C216" s="135" t="s">
        <v>105</v>
      </c>
      <c r="D216" s="238">
        <v>1</v>
      </c>
      <c r="E216" s="48">
        <v>6.5</v>
      </c>
      <c r="F216" s="48">
        <v>8</v>
      </c>
      <c r="G216" s="49">
        <f t="shared" si="11"/>
        <v>52</v>
      </c>
      <c r="H216" s="48">
        <v>262.5</v>
      </c>
      <c r="I216" s="50">
        <v>0.15</v>
      </c>
      <c r="J216" s="51">
        <f t="shared" si="12"/>
        <v>314.64999999999998</v>
      </c>
      <c r="K216" s="52">
        <f t="shared" si="13"/>
        <v>6.5</v>
      </c>
      <c r="L216" s="50">
        <f t="shared" si="16"/>
        <v>67.600000000000009</v>
      </c>
      <c r="M216" s="50">
        <f t="shared" si="17"/>
        <v>341.25</v>
      </c>
      <c r="N216" s="50">
        <f t="shared" si="14"/>
        <v>0.15</v>
      </c>
      <c r="O216" s="28">
        <f t="shared" si="15"/>
        <v>409</v>
      </c>
      <c r="P216" s="193"/>
      <c r="Q216" s="214"/>
      <c r="R216" s="214"/>
      <c r="S216" s="214"/>
      <c r="T216" s="214"/>
      <c r="U216" s="214"/>
      <c r="V216" s="214"/>
    </row>
    <row r="217" spans="1:22">
      <c r="A217" s="133" t="s">
        <v>252</v>
      </c>
      <c r="B217" s="139" t="s">
        <v>389</v>
      </c>
      <c r="C217" s="135" t="s">
        <v>105</v>
      </c>
      <c r="D217" s="238">
        <v>1</v>
      </c>
      <c r="E217" s="48">
        <v>6.5</v>
      </c>
      <c r="F217" s="48">
        <v>8</v>
      </c>
      <c r="G217" s="49">
        <f t="shared" si="11"/>
        <v>52</v>
      </c>
      <c r="H217" s="48">
        <v>243.75</v>
      </c>
      <c r="I217" s="50">
        <v>0.15</v>
      </c>
      <c r="J217" s="51">
        <f t="shared" si="12"/>
        <v>295.89999999999998</v>
      </c>
      <c r="K217" s="52">
        <f t="shared" si="13"/>
        <v>6.5</v>
      </c>
      <c r="L217" s="50">
        <f t="shared" si="16"/>
        <v>67.600000000000009</v>
      </c>
      <c r="M217" s="50">
        <f t="shared" si="17"/>
        <v>316.875</v>
      </c>
      <c r="N217" s="50">
        <f t="shared" si="14"/>
        <v>0.15</v>
      </c>
      <c r="O217" s="28">
        <f t="shared" si="15"/>
        <v>384.625</v>
      </c>
      <c r="P217" s="193"/>
      <c r="Q217" s="214"/>
      <c r="R217" s="214"/>
      <c r="S217" s="214"/>
      <c r="T217" s="214"/>
      <c r="U217" s="214"/>
      <c r="V217" s="214"/>
    </row>
    <row r="218" spans="1:22">
      <c r="A218" s="71"/>
      <c r="B218" s="72" t="s">
        <v>276</v>
      </c>
      <c r="C218" s="69"/>
      <c r="D218" s="69"/>
      <c r="E218" s="69"/>
      <c r="F218" s="69"/>
      <c r="G218" s="69"/>
      <c r="H218" s="69"/>
      <c r="I218" s="69"/>
      <c r="J218" s="69"/>
      <c r="K218" s="69"/>
      <c r="L218" s="44"/>
      <c r="M218" s="44"/>
      <c r="N218" s="69"/>
      <c r="O218" s="69"/>
      <c r="P218" s="193"/>
      <c r="Q218" s="214"/>
      <c r="R218" s="214"/>
      <c r="S218" s="214"/>
      <c r="T218" s="214"/>
      <c r="U218" s="214"/>
      <c r="V218" s="214"/>
    </row>
    <row r="219" spans="1:22" ht="31.5">
      <c r="A219" s="133" t="s">
        <v>39</v>
      </c>
      <c r="B219" s="139" t="s">
        <v>277</v>
      </c>
      <c r="C219" s="135" t="s">
        <v>81</v>
      </c>
      <c r="D219" s="238">
        <v>1</v>
      </c>
      <c r="E219" s="48">
        <v>28</v>
      </c>
      <c r="F219" s="48">
        <v>8</v>
      </c>
      <c r="G219" s="49">
        <f t="shared" si="11"/>
        <v>224</v>
      </c>
      <c r="H219" s="48">
        <v>1478.6</v>
      </c>
      <c r="I219" s="50">
        <v>15</v>
      </c>
      <c r="J219" s="51">
        <f t="shared" si="12"/>
        <v>1717.6</v>
      </c>
      <c r="K219" s="52">
        <f t="shared" si="13"/>
        <v>28</v>
      </c>
      <c r="L219" s="50">
        <f t="shared" si="16"/>
        <v>291.2</v>
      </c>
      <c r="M219" s="50">
        <f t="shared" si="17"/>
        <v>1922.1799999999998</v>
      </c>
      <c r="N219" s="50">
        <f t="shared" si="14"/>
        <v>15</v>
      </c>
      <c r="O219" s="28">
        <f t="shared" si="15"/>
        <v>2228.3799999999997</v>
      </c>
      <c r="P219" s="193"/>
      <c r="Q219" s="214"/>
      <c r="R219" s="214"/>
      <c r="S219" s="214"/>
      <c r="T219" s="214"/>
      <c r="U219" s="214"/>
      <c r="V219" s="214"/>
    </row>
    <row r="220" spans="1:22">
      <c r="A220" s="133" t="s">
        <v>71</v>
      </c>
      <c r="B220" s="139" t="s">
        <v>390</v>
      </c>
      <c r="C220" s="135" t="s">
        <v>81</v>
      </c>
      <c r="D220" s="238">
        <v>1</v>
      </c>
      <c r="E220" s="48">
        <v>16</v>
      </c>
      <c r="F220" s="48">
        <v>8</v>
      </c>
      <c r="G220" s="49">
        <f t="shared" si="11"/>
        <v>128</v>
      </c>
      <c r="H220" s="48">
        <v>207.84</v>
      </c>
      <c r="I220" s="50">
        <v>0.45</v>
      </c>
      <c r="J220" s="51">
        <f t="shared" si="12"/>
        <v>336.29</v>
      </c>
      <c r="K220" s="52">
        <f t="shared" si="13"/>
        <v>16</v>
      </c>
      <c r="L220" s="50">
        <f t="shared" si="16"/>
        <v>166.4</v>
      </c>
      <c r="M220" s="50">
        <f t="shared" si="17"/>
        <v>270.19200000000001</v>
      </c>
      <c r="N220" s="50">
        <f t="shared" si="14"/>
        <v>0.45</v>
      </c>
      <c r="O220" s="28">
        <f t="shared" si="15"/>
        <v>437.04199999999997</v>
      </c>
      <c r="P220" s="193"/>
      <c r="Q220" s="214"/>
      <c r="R220" s="214"/>
      <c r="S220" s="214"/>
      <c r="T220" s="214"/>
      <c r="U220" s="214"/>
      <c r="V220" s="214"/>
    </row>
    <row r="221" spans="1:22">
      <c r="A221" s="133" t="s">
        <v>74</v>
      </c>
      <c r="B221" s="139" t="s">
        <v>391</v>
      </c>
      <c r="C221" s="135" t="s">
        <v>105</v>
      </c>
      <c r="D221" s="238">
        <v>1</v>
      </c>
      <c r="E221" s="48">
        <v>4.5</v>
      </c>
      <c r="F221" s="48">
        <v>8</v>
      </c>
      <c r="G221" s="49">
        <f t="shared" si="11"/>
        <v>36</v>
      </c>
      <c r="H221" s="48">
        <v>97.64</v>
      </c>
      <c r="I221" s="50">
        <v>0.45</v>
      </c>
      <c r="J221" s="51">
        <f t="shared" si="12"/>
        <v>134.08999999999997</v>
      </c>
      <c r="K221" s="52">
        <f t="shared" si="13"/>
        <v>4.5</v>
      </c>
      <c r="L221" s="50">
        <f t="shared" si="16"/>
        <v>46.800000000000004</v>
      </c>
      <c r="M221" s="50">
        <f t="shared" si="17"/>
        <v>126.932</v>
      </c>
      <c r="N221" s="50">
        <f t="shared" si="14"/>
        <v>0.45</v>
      </c>
      <c r="O221" s="28">
        <f t="shared" si="15"/>
        <v>174.18199999999999</v>
      </c>
      <c r="P221" s="193"/>
      <c r="Q221" s="214"/>
      <c r="R221" s="214"/>
      <c r="S221" s="214"/>
      <c r="T221" s="214"/>
      <c r="U221" s="214"/>
      <c r="V221" s="214"/>
    </row>
    <row r="222" spans="1:22">
      <c r="A222" s="133" t="s">
        <v>77</v>
      </c>
      <c r="B222" s="134" t="s">
        <v>280</v>
      </c>
      <c r="C222" s="135" t="s">
        <v>84</v>
      </c>
      <c r="D222" s="238">
        <v>64</v>
      </c>
      <c r="E222" s="48">
        <v>0.25</v>
      </c>
      <c r="F222" s="48">
        <v>8</v>
      </c>
      <c r="G222" s="49">
        <f t="shared" si="11"/>
        <v>2</v>
      </c>
      <c r="H222" s="48">
        <v>2.62</v>
      </c>
      <c r="I222" s="50">
        <v>0.45</v>
      </c>
      <c r="J222" s="51">
        <f t="shared" si="12"/>
        <v>5.07</v>
      </c>
      <c r="K222" s="52">
        <f t="shared" si="13"/>
        <v>16</v>
      </c>
      <c r="L222" s="50">
        <f t="shared" si="16"/>
        <v>166.4</v>
      </c>
      <c r="M222" s="50">
        <f t="shared" si="17"/>
        <v>217.98400000000001</v>
      </c>
      <c r="N222" s="50">
        <f t="shared" si="14"/>
        <v>28.8</v>
      </c>
      <c r="O222" s="28">
        <f t="shared" si="15"/>
        <v>413.18400000000003</v>
      </c>
      <c r="P222" s="193"/>
      <c r="Q222" s="214"/>
      <c r="R222" s="214"/>
      <c r="S222" s="214"/>
      <c r="T222" s="214"/>
      <c r="U222" s="214"/>
      <c r="V222" s="214"/>
    </row>
    <row r="223" spans="1:22">
      <c r="A223" s="133" t="s">
        <v>79</v>
      </c>
      <c r="B223" s="139" t="s">
        <v>281</v>
      </c>
      <c r="C223" s="135" t="s">
        <v>81</v>
      </c>
      <c r="D223" s="238">
        <v>7</v>
      </c>
      <c r="E223" s="48">
        <v>0.45</v>
      </c>
      <c r="F223" s="48">
        <v>8</v>
      </c>
      <c r="G223" s="49">
        <f t="shared" si="11"/>
        <v>3.6</v>
      </c>
      <c r="H223" s="48">
        <v>3</v>
      </c>
      <c r="I223" s="50">
        <v>0.45</v>
      </c>
      <c r="J223" s="51">
        <f t="shared" si="12"/>
        <v>7.05</v>
      </c>
      <c r="K223" s="52">
        <f t="shared" si="13"/>
        <v>3.15</v>
      </c>
      <c r="L223" s="50">
        <f t="shared" si="16"/>
        <v>32.76</v>
      </c>
      <c r="M223" s="50">
        <f t="shared" si="17"/>
        <v>27.3</v>
      </c>
      <c r="N223" s="50">
        <f t="shared" si="14"/>
        <v>3.15</v>
      </c>
      <c r="O223" s="28">
        <f t="shared" si="15"/>
        <v>63.21</v>
      </c>
      <c r="P223" s="193"/>
      <c r="Q223" s="214"/>
      <c r="R223" s="214"/>
      <c r="S223" s="214"/>
      <c r="T223" s="214"/>
      <c r="U223" s="214"/>
      <c r="V223" s="214"/>
    </row>
    <row r="224" spans="1:22" ht="31.5">
      <c r="A224" s="133" t="s">
        <v>82</v>
      </c>
      <c r="B224" s="139" t="s">
        <v>282</v>
      </c>
      <c r="C224" s="135" t="s">
        <v>81</v>
      </c>
      <c r="D224" s="238">
        <v>62</v>
      </c>
      <c r="E224" s="48">
        <v>0.15</v>
      </c>
      <c r="F224" s="48">
        <v>8</v>
      </c>
      <c r="G224" s="49">
        <f t="shared" si="11"/>
        <v>1.2</v>
      </c>
      <c r="H224" s="48">
        <v>4.74</v>
      </c>
      <c r="I224" s="50">
        <v>0.45</v>
      </c>
      <c r="J224" s="51">
        <f t="shared" si="12"/>
        <v>6.3900000000000006</v>
      </c>
      <c r="K224" s="52">
        <f t="shared" si="13"/>
        <v>9.3000000000000007</v>
      </c>
      <c r="L224" s="50">
        <f t="shared" si="16"/>
        <v>96.720000000000013</v>
      </c>
      <c r="M224" s="50">
        <f t="shared" si="17"/>
        <v>382.04399999999998</v>
      </c>
      <c r="N224" s="50">
        <f t="shared" si="14"/>
        <v>27.9</v>
      </c>
      <c r="O224" s="28">
        <f t="shared" si="15"/>
        <v>506.66399999999999</v>
      </c>
      <c r="P224" s="193"/>
      <c r="Q224" s="214"/>
      <c r="R224" s="214"/>
      <c r="S224" s="214"/>
      <c r="T224" s="214"/>
      <c r="U224" s="214"/>
      <c r="V224" s="214"/>
    </row>
    <row r="225" spans="1:22">
      <c r="A225" s="133" t="s">
        <v>85</v>
      </c>
      <c r="B225" s="139" t="s">
        <v>283</v>
      </c>
      <c r="C225" s="135" t="s">
        <v>81</v>
      </c>
      <c r="D225" s="238">
        <v>25</v>
      </c>
      <c r="E225" s="48">
        <v>0.22</v>
      </c>
      <c r="F225" s="48">
        <v>8</v>
      </c>
      <c r="G225" s="49">
        <f t="shared" si="11"/>
        <v>1.76</v>
      </c>
      <c r="H225" s="48">
        <v>2.48</v>
      </c>
      <c r="I225" s="50">
        <v>0.45</v>
      </c>
      <c r="J225" s="51">
        <f t="shared" si="12"/>
        <v>4.6900000000000004</v>
      </c>
      <c r="K225" s="52">
        <f t="shared" si="13"/>
        <v>5.5</v>
      </c>
      <c r="L225" s="50">
        <f t="shared" si="16"/>
        <v>57.2</v>
      </c>
      <c r="M225" s="50">
        <f t="shared" si="17"/>
        <v>80.600000000000009</v>
      </c>
      <c r="N225" s="50">
        <f t="shared" si="14"/>
        <v>11.25</v>
      </c>
      <c r="O225" s="28">
        <f t="shared" si="15"/>
        <v>149.05000000000001</v>
      </c>
      <c r="P225" s="193"/>
      <c r="Q225" s="214"/>
      <c r="R225" s="214"/>
      <c r="S225" s="214"/>
      <c r="T225" s="214"/>
      <c r="U225" s="214"/>
      <c r="V225" s="214"/>
    </row>
    <row r="226" spans="1:22">
      <c r="A226" s="133" t="s">
        <v>87</v>
      </c>
      <c r="B226" s="134" t="s">
        <v>284</v>
      </c>
      <c r="C226" s="135" t="s">
        <v>81</v>
      </c>
      <c r="D226" s="238">
        <v>25</v>
      </c>
      <c r="E226" s="48">
        <v>0.35</v>
      </c>
      <c r="F226" s="48">
        <v>8</v>
      </c>
      <c r="G226" s="49">
        <f t="shared" si="11"/>
        <v>2.8</v>
      </c>
      <c r="H226" s="48">
        <v>0.35</v>
      </c>
      <c r="I226" s="50">
        <v>0.45</v>
      </c>
      <c r="J226" s="51">
        <f t="shared" si="12"/>
        <v>3.6</v>
      </c>
      <c r="K226" s="52">
        <f t="shared" si="13"/>
        <v>8.75</v>
      </c>
      <c r="L226" s="50">
        <f t="shared" si="16"/>
        <v>91</v>
      </c>
      <c r="M226" s="50">
        <f t="shared" si="17"/>
        <v>11.375</v>
      </c>
      <c r="N226" s="50">
        <f t="shared" si="14"/>
        <v>11.25</v>
      </c>
      <c r="O226" s="28">
        <f t="shared" si="15"/>
        <v>113.625</v>
      </c>
      <c r="P226" s="193"/>
      <c r="Q226" s="214"/>
      <c r="R226" s="214"/>
      <c r="S226" s="214"/>
      <c r="T226" s="214"/>
      <c r="U226" s="214"/>
      <c r="V226" s="214"/>
    </row>
    <row r="227" spans="1:22">
      <c r="A227" s="133" t="s">
        <v>89</v>
      </c>
      <c r="B227" s="139" t="s">
        <v>285</v>
      </c>
      <c r="C227" s="135" t="s">
        <v>81</v>
      </c>
      <c r="D227" s="238">
        <v>2</v>
      </c>
      <c r="E227" s="48">
        <v>0.15</v>
      </c>
      <c r="F227" s="48">
        <v>8</v>
      </c>
      <c r="G227" s="49">
        <f t="shared" si="11"/>
        <v>1.2</v>
      </c>
      <c r="H227" s="48">
        <v>2.8</v>
      </c>
      <c r="I227" s="50">
        <v>0.45</v>
      </c>
      <c r="J227" s="51">
        <f t="shared" si="12"/>
        <v>4.45</v>
      </c>
      <c r="K227" s="52">
        <f t="shared" si="13"/>
        <v>0.3</v>
      </c>
      <c r="L227" s="50">
        <f t="shared" si="16"/>
        <v>3.12</v>
      </c>
      <c r="M227" s="50">
        <f t="shared" si="17"/>
        <v>7.2799999999999994</v>
      </c>
      <c r="N227" s="50">
        <f t="shared" si="14"/>
        <v>0.9</v>
      </c>
      <c r="O227" s="28">
        <f t="shared" si="15"/>
        <v>11.299999999999999</v>
      </c>
      <c r="P227" s="193"/>
      <c r="Q227" s="214"/>
      <c r="R227" s="214"/>
      <c r="S227" s="214"/>
      <c r="T227" s="214"/>
      <c r="U227" s="214"/>
      <c r="V227" s="214"/>
    </row>
    <row r="228" spans="1:22" ht="31.5">
      <c r="A228" s="133" t="s">
        <v>91</v>
      </c>
      <c r="B228" s="139" t="s">
        <v>286</v>
      </c>
      <c r="C228" s="135" t="s">
        <v>81</v>
      </c>
      <c r="D228" s="238">
        <v>2</v>
      </c>
      <c r="E228" s="48">
        <v>0.25</v>
      </c>
      <c r="F228" s="48">
        <v>8</v>
      </c>
      <c r="G228" s="49">
        <f t="shared" si="11"/>
        <v>2</v>
      </c>
      <c r="H228" s="48">
        <v>23.56</v>
      </c>
      <c r="I228" s="50">
        <v>0.45</v>
      </c>
      <c r="J228" s="51">
        <f t="shared" si="12"/>
        <v>26.009999999999998</v>
      </c>
      <c r="K228" s="52">
        <f t="shared" si="13"/>
        <v>0.5</v>
      </c>
      <c r="L228" s="50">
        <f t="shared" si="16"/>
        <v>5.2</v>
      </c>
      <c r="M228" s="50">
        <f t="shared" si="17"/>
        <v>61.256</v>
      </c>
      <c r="N228" s="50">
        <f t="shared" si="14"/>
        <v>0.9</v>
      </c>
      <c r="O228" s="28">
        <f t="shared" si="15"/>
        <v>67.356000000000009</v>
      </c>
      <c r="P228" s="193"/>
      <c r="Q228" s="214"/>
      <c r="R228" s="214"/>
      <c r="S228" s="214"/>
      <c r="T228" s="214"/>
      <c r="U228" s="214"/>
      <c r="V228" s="214"/>
    </row>
    <row r="229" spans="1:22" ht="31.5">
      <c r="A229" s="133" t="s">
        <v>93</v>
      </c>
      <c r="B229" s="139" t="s">
        <v>287</v>
      </c>
      <c r="C229" s="135" t="s">
        <v>81</v>
      </c>
      <c r="D229" s="238">
        <v>12</v>
      </c>
      <c r="E229" s="48">
        <v>0.25</v>
      </c>
      <c r="F229" s="48">
        <v>8</v>
      </c>
      <c r="G229" s="49">
        <f t="shared" si="11"/>
        <v>2</v>
      </c>
      <c r="H229" s="48">
        <v>8.2200000000000006</v>
      </c>
      <c r="I229" s="50">
        <v>0.45</v>
      </c>
      <c r="J229" s="51">
        <f t="shared" si="12"/>
        <v>10.67</v>
      </c>
      <c r="K229" s="52">
        <f t="shared" si="13"/>
        <v>3</v>
      </c>
      <c r="L229" s="50">
        <f t="shared" si="16"/>
        <v>31.200000000000003</v>
      </c>
      <c r="M229" s="50">
        <f t="shared" si="17"/>
        <v>128.232</v>
      </c>
      <c r="N229" s="50">
        <f t="shared" si="14"/>
        <v>5.4</v>
      </c>
      <c r="O229" s="28">
        <f t="shared" si="15"/>
        <v>164.83200000000002</v>
      </c>
      <c r="P229" s="193"/>
      <c r="Q229" s="214"/>
      <c r="R229" s="214"/>
      <c r="S229" s="214"/>
      <c r="T229" s="214"/>
      <c r="U229" s="214"/>
      <c r="V229" s="214"/>
    </row>
    <row r="230" spans="1:22" ht="31.5">
      <c r="A230" s="133" t="s">
        <v>95</v>
      </c>
      <c r="B230" s="139" t="s">
        <v>288</v>
      </c>
      <c r="C230" s="135" t="s">
        <v>81</v>
      </c>
      <c r="D230" s="238">
        <v>6</v>
      </c>
      <c r="E230" s="48">
        <v>0.85</v>
      </c>
      <c r="F230" s="48">
        <v>8</v>
      </c>
      <c r="G230" s="49">
        <f t="shared" si="11"/>
        <v>6.8</v>
      </c>
      <c r="H230" s="48">
        <v>3.44</v>
      </c>
      <c r="I230" s="50">
        <v>0.45</v>
      </c>
      <c r="J230" s="51">
        <f t="shared" si="12"/>
        <v>10.69</v>
      </c>
      <c r="K230" s="52">
        <f t="shared" si="13"/>
        <v>5.0999999999999996</v>
      </c>
      <c r="L230" s="50">
        <f t="shared" si="16"/>
        <v>53.04</v>
      </c>
      <c r="M230" s="50">
        <f t="shared" si="17"/>
        <v>26.832000000000001</v>
      </c>
      <c r="N230" s="50">
        <f t="shared" si="14"/>
        <v>2.7</v>
      </c>
      <c r="O230" s="28">
        <f t="shared" si="15"/>
        <v>82.572000000000003</v>
      </c>
      <c r="P230" s="193"/>
      <c r="Q230" s="214"/>
      <c r="R230" s="214"/>
      <c r="S230" s="214"/>
      <c r="T230" s="214"/>
      <c r="U230" s="214"/>
      <c r="V230" s="214"/>
    </row>
    <row r="231" spans="1:22">
      <c r="A231" s="133" t="s">
        <v>97</v>
      </c>
      <c r="B231" s="139" t="s">
        <v>289</v>
      </c>
      <c r="C231" s="135" t="s">
        <v>81</v>
      </c>
      <c r="D231" s="238">
        <v>2</v>
      </c>
      <c r="E231" s="48">
        <v>0.85</v>
      </c>
      <c r="F231" s="48">
        <v>8</v>
      </c>
      <c r="G231" s="49">
        <f t="shared" si="11"/>
        <v>6.8</v>
      </c>
      <c r="H231" s="48">
        <v>2.42</v>
      </c>
      <c r="I231" s="50">
        <v>0.45</v>
      </c>
      <c r="J231" s="51">
        <f t="shared" si="12"/>
        <v>9.6699999999999982</v>
      </c>
      <c r="K231" s="52">
        <f t="shared" si="13"/>
        <v>1.7</v>
      </c>
      <c r="L231" s="50">
        <f t="shared" si="16"/>
        <v>17.68</v>
      </c>
      <c r="M231" s="50">
        <f t="shared" si="17"/>
        <v>6.2919999999999998</v>
      </c>
      <c r="N231" s="50">
        <f t="shared" si="14"/>
        <v>0.9</v>
      </c>
      <c r="O231" s="28">
        <f t="shared" si="15"/>
        <v>24.872</v>
      </c>
      <c r="P231" s="193"/>
      <c r="Q231" s="214"/>
      <c r="R231" s="214"/>
      <c r="S231" s="214"/>
      <c r="T231" s="214"/>
      <c r="U231" s="214"/>
      <c r="V231" s="214"/>
    </row>
    <row r="232" spans="1:22">
      <c r="A232" s="133" t="s">
        <v>99</v>
      </c>
      <c r="B232" s="134" t="s">
        <v>290</v>
      </c>
      <c r="C232" s="135" t="s">
        <v>81</v>
      </c>
      <c r="D232" s="238">
        <v>8</v>
      </c>
      <c r="E232" s="48">
        <v>0</v>
      </c>
      <c r="F232" s="48">
        <v>8</v>
      </c>
      <c r="G232" s="49">
        <f t="shared" si="11"/>
        <v>0</v>
      </c>
      <c r="H232" s="48">
        <v>0</v>
      </c>
      <c r="I232" s="50">
        <v>0.45</v>
      </c>
      <c r="J232" s="51">
        <f t="shared" si="12"/>
        <v>0.45</v>
      </c>
      <c r="K232" s="52">
        <f t="shared" si="13"/>
        <v>0</v>
      </c>
      <c r="L232" s="50">
        <f t="shared" si="16"/>
        <v>0</v>
      </c>
      <c r="M232" s="50">
        <f t="shared" si="17"/>
        <v>0</v>
      </c>
      <c r="N232" s="50">
        <f t="shared" si="14"/>
        <v>3.6</v>
      </c>
      <c r="O232" s="28">
        <f t="shared" si="15"/>
        <v>3.6</v>
      </c>
      <c r="P232" s="193"/>
      <c r="Q232" s="214"/>
      <c r="R232" s="214"/>
      <c r="S232" s="214"/>
      <c r="T232" s="214"/>
      <c r="U232" s="214"/>
      <c r="V232" s="214"/>
    </row>
    <row r="233" spans="1:22">
      <c r="A233" s="71"/>
      <c r="B233" s="83" t="s">
        <v>292</v>
      </c>
      <c r="C233" s="69"/>
      <c r="D233" s="69"/>
      <c r="E233" s="69"/>
      <c r="F233" s="69"/>
      <c r="G233" s="69"/>
      <c r="H233" s="69"/>
      <c r="I233" s="69"/>
      <c r="J233" s="69"/>
      <c r="K233" s="69"/>
      <c r="L233" s="44"/>
      <c r="M233" s="44"/>
      <c r="N233" s="69"/>
      <c r="O233" s="69"/>
      <c r="P233" s="193"/>
      <c r="Q233" s="214"/>
      <c r="R233" s="214"/>
      <c r="S233" s="214"/>
      <c r="T233" s="214"/>
      <c r="U233" s="214"/>
      <c r="V233" s="214"/>
    </row>
    <row r="234" spans="1:22" ht="31.5">
      <c r="A234" s="133" t="s">
        <v>39</v>
      </c>
      <c r="B234" s="139" t="s">
        <v>302</v>
      </c>
      <c r="C234" s="135" t="s">
        <v>81</v>
      </c>
      <c r="D234" s="238">
        <v>22</v>
      </c>
      <c r="E234" s="48">
        <v>0.85</v>
      </c>
      <c r="F234" s="48">
        <v>8</v>
      </c>
      <c r="G234" s="49">
        <f t="shared" si="11"/>
        <v>6.8</v>
      </c>
      <c r="H234" s="48">
        <v>8.7200000000000006</v>
      </c>
      <c r="I234" s="50">
        <v>0.15</v>
      </c>
      <c r="J234" s="51">
        <f t="shared" si="12"/>
        <v>15.67</v>
      </c>
      <c r="K234" s="52">
        <f t="shared" si="13"/>
        <v>18.7</v>
      </c>
      <c r="L234" s="50">
        <f t="shared" si="16"/>
        <v>194.48</v>
      </c>
      <c r="M234" s="50">
        <f t="shared" si="17"/>
        <v>249.39200000000002</v>
      </c>
      <c r="N234" s="50">
        <f t="shared" si="14"/>
        <v>3.3</v>
      </c>
      <c r="O234" s="28">
        <f t="shared" si="15"/>
        <v>447.17200000000003</v>
      </c>
      <c r="P234" s="193"/>
      <c r="Q234" s="214"/>
      <c r="R234" s="214"/>
      <c r="S234" s="214"/>
      <c r="T234" s="214"/>
      <c r="U234" s="214"/>
      <c r="V234" s="214"/>
    </row>
    <row r="235" spans="1:22" ht="31.5">
      <c r="A235" s="133" t="s">
        <v>71</v>
      </c>
      <c r="B235" s="139" t="s">
        <v>303</v>
      </c>
      <c r="C235" s="135" t="s">
        <v>81</v>
      </c>
      <c r="D235" s="238">
        <v>104</v>
      </c>
      <c r="E235" s="48">
        <v>0.85</v>
      </c>
      <c r="F235" s="48">
        <v>8</v>
      </c>
      <c r="G235" s="49">
        <f t="shared" si="11"/>
        <v>6.8</v>
      </c>
      <c r="H235" s="48">
        <v>18.2</v>
      </c>
      <c r="I235" s="50">
        <v>0.15</v>
      </c>
      <c r="J235" s="51">
        <f t="shared" si="12"/>
        <v>25.15</v>
      </c>
      <c r="K235" s="52">
        <f t="shared" si="13"/>
        <v>88.4</v>
      </c>
      <c r="L235" s="50">
        <f t="shared" si="16"/>
        <v>919.36000000000013</v>
      </c>
      <c r="M235" s="50">
        <f t="shared" si="17"/>
        <v>2460.64</v>
      </c>
      <c r="N235" s="50">
        <f t="shared" si="14"/>
        <v>15.6</v>
      </c>
      <c r="O235" s="28">
        <f t="shared" si="15"/>
        <v>3395.6</v>
      </c>
      <c r="P235" s="193"/>
      <c r="Q235" s="214"/>
      <c r="R235" s="214"/>
      <c r="S235" s="214"/>
      <c r="T235" s="214"/>
      <c r="U235" s="214"/>
      <c r="V235" s="214"/>
    </row>
    <row r="236" spans="1:22">
      <c r="A236" s="133" t="s">
        <v>74</v>
      </c>
      <c r="B236" s="139" t="s">
        <v>305</v>
      </c>
      <c r="C236" s="135" t="s">
        <v>81</v>
      </c>
      <c r="D236" s="238">
        <v>104</v>
      </c>
      <c r="E236" s="48">
        <v>0.85</v>
      </c>
      <c r="F236" s="48">
        <v>8</v>
      </c>
      <c r="G236" s="49">
        <f t="shared" si="11"/>
        <v>6.8</v>
      </c>
      <c r="H236" s="48">
        <v>1.4</v>
      </c>
      <c r="I236" s="50">
        <v>0.15</v>
      </c>
      <c r="J236" s="51">
        <f t="shared" si="12"/>
        <v>8.35</v>
      </c>
      <c r="K236" s="52">
        <f t="shared" si="13"/>
        <v>88.4</v>
      </c>
      <c r="L236" s="50">
        <f t="shared" si="16"/>
        <v>919.36000000000013</v>
      </c>
      <c r="M236" s="50">
        <f t="shared" si="17"/>
        <v>189.28</v>
      </c>
      <c r="N236" s="50">
        <f t="shared" si="14"/>
        <v>15.6</v>
      </c>
      <c r="O236" s="28">
        <f t="shared" si="15"/>
        <v>1124.24</v>
      </c>
      <c r="P236" s="193"/>
      <c r="Q236" s="214"/>
      <c r="R236" s="214"/>
      <c r="S236" s="214"/>
      <c r="T236" s="214"/>
      <c r="U236" s="214"/>
      <c r="V236" s="214"/>
    </row>
    <row r="237" spans="1:22">
      <c r="A237" s="133" t="s">
        <v>77</v>
      </c>
      <c r="B237" s="139" t="s">
        <v>392</v>
      </c>
      <c r="C237" s="135" t="s">
        <v>81</v>
      </c>
      <c r="D237" s="238">
        <v>2</v>
      </c>
      <c r="E237" s="48">
        <v>0.85</v>
      </c>
      <c r="F237" s="48">
        <v>8</v>
      </c>
      <c r="G237" s="49">
        <f t="shared" si="11"/>
        <v>6.8</v>
      </c>
      <c r="H237" s="48">
        <v>223.18</v>
      </c>
      <c r="I237" s="50">
        <v>0.15</v>
      </c>
      <c r="J237" s="51">
        <f t="shared" si="12"/>
        <v>230.13000000000002</v>
      </c>
      <c r="K237" s="52">
        <f t="shared" si="13"/>
        <v>1.7</v>
      </c>
      <c r="L237" s="50">
        <f t="shared" si="16"/>
        <v>17.68</v>
      </c>
      <c r="M237" s="50">
        <f t="shared" si="17"/>
        <v>580.26800000000003</v>
      </c>
      <c r="N237" s="50">
        <f t="shared" si="14"/>
        <v>0.3</v>
      </c>
      <c r="O237" s="28">
        <f t="shared" si="15"/>
        <v>598.24799999999993</v>
      </c>
      <c r="P237" s="193"/>
      <c r="Q237" s="214"/>
      <c r="R237" s="214"/>
      <c r="S237" s="214"/>
      <c r="T237" s="214"/>
      <c r="U237" s="214"/>
      <c r="V237" s="214"/>
    </row>
    <row r="238" spans="1:22">
      <c r="A238" s="133" t="s">
        <v>79</v>
      </c>
      <c r="B238" s="139" t="s">
        <v>306</v>
      </c>
      <c r="C238" s="135" t="s">
        <v>81</v>
      </c>
      <c r="D238" s="238">
        <v>13</v>
      </c>
      <c r="E238" s="48">
        <v>0.85</v>
      </c>
      <c r="F238" s="48">
        <v>8</v>
      </c>
      <c r="G238" s="49">
        <f t="shared" si="11"/>
        <v>6.8</v>
      </c>
      <c r="H238" s="48">
        <v>19.940000000000001</v>
      </c>
      <c r="I238" s="50">
        <v>0.15</v>
      </c>
      <c r="J238" s="51">
        <f t="shared" si="12"/>
        <v>26.89</v>
      </c>
      <c r="K238" s="52">
        <f t="shared" si="13"/>
        <v>11.05</v>
      </c>
      <c r="L238" s="50">
        <f t="shared" si="16"/>
        <v>114.92000000000002</v>
      </c>
      <c r="M238" s="50">
        <f t="shared" si="17"/>
        <v>336.98600000000005</v>
      </c>
      <c r="N238" s="50">
        <f t="shared" si="14"/>
        <v>1.95</v>
      </c>
      <c r="O238" s="28">
        <f t="shared" si="15"/>
        <v>453.85600000000005</v>
      </c>
      <c r="P238" s="193"/>
      <c r="Q238" s="214"/>
      <c r="R238" s="214"/>
      <c r="S238" s="214"/>
      <c r="T238" s="214"/>
      <c r="U238" s="214"/>
      <c r="V238" s="214"/>
    </row>
    <row r="239" spans="1:22">
      <c r="A239" s="133" t="s">
        <v>82</v>
      </c>
      <c r="B239" s="134" t="s">
        <v>307</v>
      </c>
      <c r="C239" s="135" t="s">
        <v>81</v>
      </c>
      <c r="D239" s="238">
        <v>13</v>
      </c>
      <c r="E239" s="48">
        <v>0.65</v>
      </c>
      <c r="F239" s="48">
        <v>8</v>
      </c>
      <c r="G239" s="49">
        <f t="shared" si="11"/>
        <v>5.2</v>
      </c>
      <c r="H239" s="48">
        <v>1.1200000000000001</v>
      </c>
      <c r="I239" s="50">
        <v>0.15</v>
      </c>
      <c r="J239" s="51">
        <f t="shared" si="12"/>
        <v>6.4700000000000006</v>
      </c>
      <c r="K239" s="52">
        <f t="shared" si="13"/>
        <v>8.4499999999999993</v>
      </c>
      <c r="L239" s="50">
        <f t="shared" si="16"/>
        <v>87.88</v>
      </c>
      <c r="M239" s="50">
        <f t="shared" si="17"/>
        <v>18.928000000000001</v>
      </c>
      <c r="N239" s="50">
        <f t="shared" si="14"/>
        <v>1.95</v>
      </c>
      <c r="O239" s="28">
        <f t="shared" si="15"/>
        <v>108.758</v>
      </c>
      <c r="P239" s="193"/>
      <c r="Q239" s="214"/>
      <c r="R239" s="214"/>
      <c r="S239" s="214"/>
      <c r="T239" s="214"/>
      <c r="U239" s="214"/>
      <c r="V239" s="214"/>
    </row>
    <row r="240" spans="1:22" ht="31.5">
      <c r="A240" s="133" t="s">
        <v>85</v>
      </c>
      <c r="B240" s="137" t="s">
        <v>308</v>
      </c>
      <c r="C240" s="135" t="s">
        <v>81</v>
      </c>
      <c r="D240" s="238">
        <v>13</v>
      </c>
      <c r="E240" s="48">
        <v>0.45</v>
      </c>
      <c r="F240" s="48">
        <v>8</v>
      </c>
      <c r="G240" s="49">
        <f t="shared" si="11"/>
        <v>3.6</v>
      </c>
      <c r="H240" s="48">
        <v>1.1200000000000001</v>
      </c>
      <c r="I240" s="50">
        <v>0.15</v>
      </c>
      <c r="J240" s="51">
        <f t="shared" si="12"/>
        <v>4.870000000000001</v>
      </c>
      <c r="K240" s="52">
        <f t="shared" si="13"/>
        <v>5.85</v>
      </c>
      <c r="L240" s="50">
        <f t="shared" ref="L240:L270" si="18">ROUND(D240*G240,2)*1.3</f>
        <v>60.839999999999996</v>
      </c>
      <c r="M240" s="50">
        <f t="shared" ref="M240:M270" si="19">ROUND(D240*H240,2)*1.3</f>
        <v>18.928000000000001</v>
      </c>
      <c r="N240" s="50">
        <f t="shared" si="14"/>
        <v>1.95</v>
      </c>
      <c r="O240" s="28">
        <f t="shared" si="15"/>
        <v>81.718000000000004</v>
      </c>
      <c r="P240" s="193"/>
      <c r="Q240" s="214"/>
      <c r="R240" s="214"/>
      <c r="S240" s="214"/>
      <c r="T240" s="214"/>
      <c r="U240" s="214"/>
      <c r="V240" s="214"/>
    </row>
    <row r="241" spans="1:22">
      <c r="A241" s="133" t="s">
        <v>87</v>
      </c>
      <c r="B241" s="139" t="s">
        <v>309</v>
      </c>
      <c r="C241" s="135" t="s">
        <v>81</v>
      </c>
      <c r="D241" s="238">
        <v>3</v>
      </c>
      <c r="E241" s="48">
        <v>0.25</v>
      </c>
      <c r="F241" s="48">
        <v>8</v>
      </c>
      <c r="G241" s="49">
        <f t="shared" si="11"/>
        <v>2</v>
      </c>
      <c r="H241" s="48">
        <v>0.28999999999999998</v>
      </c>
      <c r="I241" s="50">
        <v>0.15</v>
      </c>
      <c r="J241" s="51">
        <f t="shared" si="12"/>
        <v>2.44</v>
      </c>
      <c r="K241" s="52">
        <f t="shared" si="13"/>
        <v>0.75</v>
      </c>
      <c r="L241" s="50">
        <f t="shared" si="18"/>
        <v>7.8000000000000007</v>
      </c>
      <c r="M241" s="50">
        <f t="shared" si="19"/>
        <v>1.131</v>
      </c>
      <c r="N241" s="50">
        <f t="shared" si="14"/>
        <v>0.45</v>
      </c>
      <c r="O241" s="28">
        <f t="shared" si="15"/>
        <v>9.3810000000000002</v>
      </c>
      <c r="P241" s="193"/>
      <c r="Q241" s="214"/>
      <c r="R241" s="214"/>
      <c r="S241" s="214"/>
      <c r="T241" s="214"/>
      <c r="U241" s="214"/>
      <c r="V241" s="214"/>
    </row>
    <row r="242" spans="1:22">
      <c r="A242" s="133" t="s">
        <v>89</v>
      </c>
      <c r="B242" s="139" t="s">
        <v>310</v>
      </c>
      <c r="C242" s="135" t="s">
        <v>81</v>
      </c>
      <c r="D242" s="238">
        <v>34</v>
      </c>
      <c r="E242" s="48">
        <v>0.85</v>
      </c>
      <c r="F242" s="48">
        <v>8</v>
      </c>
      <c r="G242" s="49">
        <f t="shared" si="11"/>
        <v>6.8</v>
      </c>
      <c r="H242" s="48">
        <v>0.48</v>
      </c>
      <c r="I242" s="50">
        <v>0.15</v>
      </c>
      <c r="J242" s="51">
        <f t="shared" si="12"/>
        <v>7.43</v>
      </c>
      <c r="K242" s="52">
        <f t="shared" si="13"/>
        <v>28.9</v>
      </c>
      <c r="L242" s="50">
        <f t="shared" si="18"/>
        <v>300.56</v>
      </c>
      <c r="M242" s="50">
        <f t="shared" si="19"/>
        <v>21.216000000000001</v>
      </c>
      <c r="N242" s="50">
        <f t="shared" si="14"/>
        <v>5.0999999999999996</v>
      </c>
      <c r="O242" s="28">
        <f t="shared" si="15"/>
        <v>326.87600000000003</v>
      </c>
      <c r="P242" s="193"/>
      <c r="Q242" s="214"/>
      <c r="R242" s="214"/>
      <c r="S242" s="214"/>
      <c r="T242" s="214"/>
      <c r="U242" s="214"/>
      <c r="V242" s="214"/>
    </row>
    <row r="243" spans="1:22" ht="31.5">
      <c r="A243" s="133" t="s">
        <v>91</v>
      </c>
      <c r="B243" s="139" t="s">
        <v>311</v>
      </c>
      <c r="C243" s="135" t="s">
        <v>81</v>
      </c>
      <c r="D243" s="238">
        <v>4</v>
      </c>
      <c r="E243" s="48">
        <v>0.85</v>
      </c>
      <c r="F243" s="48">
        <v>8</v>
      </c>
      <c r="G243" s="49">
        <f t="shared" si="11"/>
        <v>6.8</v>
      </c>
      <c r="H243" s="48">
        <v>44.77</v>
      </c>
      <c r="I243" s="50">
        <v>0.15</v>
      </c>
      <c r="J243" s="51">
        <f t="shared" si="12"/>
        <v>51.72</v>
      </c>
      <c r="K243" s="52">
        <f t="shared" si="13"/>
        <v>3.4</v>
      </c>
      <c r="L243" s="50">
        <f t="shared" si="18"/>
        <v>35.36</v>
      </c>
      <c r="M243" s="50">
        <f t="shared" si="19"/>
        <v>232.80400000000003</v>
      </c>
      <c r="N243" s="50">
        <f t="shared" si="14"/>
        <v>0.6</v>
      </c>
      <c r="O243" s="28">
        <f t="shared" si="15"/>
        <v>268.76400000000007</v>
      </c>
      <c r="P243" s="193"/>
      <c r="Q243" s="214"/>
      <c r="R243" s="214"/>
      <c r="S243" s="214"/>
      <c r="T243" s="214"/>
      <c r="U243" s="214"/>
      <c r="V243" s="214"/>
    </row>
    <row r="244" spans="1:22">
      <c r="A244" s="133" t="s">
        <v>93</v>
      </c>
      <c r="B244" s="139" t="s">
        <v>312</v>
      </c>
      <c r="C244" s="135" t="s">
        <v>81</v>
      </c>
      <c r="D244" s="238">
        <v>2</v>
      </c>
      <c r="E244" s="48">
        <v>0.45</v>
      </c>
      <c r="F244" s="48">
        <v>8</v>
      </c>
      <c r="G244" s="49">
        <f t="shared" si="11"/>
        <v>3.6</v>
      </c>
      <c r="H244" s="48">
        <v>32.18</v>
      </c>
      <c r="I244" s="50">
        <v>0.15</v>
      </c>
      <c r="J244" s="51">
        <f t="shared" si="12"/>
        <v>35.93</v>
      </c>
      <c r="K244" s="52">
        <f t="shared" si="13"/>
        <v>0.9</v>
      </c>
      <c r="L244" s="50">
        <f t="shared" si="18"/>
        <v>9.3600000000000012</v>
      </c>
      <c r="M244" s="50">
        <f t="shared" si="19"/>
        <v>83.668000000000006</v>
      </c>
      <c r="N244" s="50">
        <f t="shared" si="14"/>
        <v>0.3</v>
      </c>
      <c r="O244" s="28">
        <f t="shared" si="15"/>
        <v>93.328000000000003</v>
      </c>
      <c r="P244" s="193"/>
      <c r="Q244" s="214"/>
      <c r="R244" s="214"/>
      <c r="S244" s="214"/>
      <c r="T244" s="214"/>
      <c r="U244" s="214"/>
      <c r="V244" s="214"/>
    </row>
    <row r="245" spans="1:22" ht="31.5">
      <c r="A245" s="133" t="s">
        <v>95</v>
      </c>
      <c r="B245" s="139" t="s">
        <v>313</v>
      </c>
      <c r="C245" s="135" t="s">
        <v>81</v>
      </c>
      <c r="D245" s="238">
        <v>13</v>
      </c>
      <c r="E245" s="48">
        <v>0.45</v>
      </c>
      <c r="F245" s="48">
        <v>8</v>
      </c>
      <c r="G245" s="49">
        <f t="shared" si="11"/>
        <v>3.6</v>
      </c>
      <c r="H245" s="48">
        <v>22.73</v>
      </c>
      <c r="I245" s="50">
        <v>0.15</v>
      </c>
      <c r="J245" s="51">
        <f t="shared" si="12"/>
        <v>26.48</v>
      </c>
      <c r="K245" s="52">
        <f t="shared" si="13"/>
        <v>5.85</v>
      </c>
      <c r="L245" s="50">
        <f t="shared" si="18"/>
        <v>60.839999999999996</v>
      </c>
      <c r="M245" s="50">
        <f t="shared" si="19"/>
        <v>384.137</v>
      </c>
      <c r="N245" s="50">
        <f t="shared" si="14"/>
        <v>1.95</v>
      </c>
      <c r="O245" s="28">
        <f t="shared" si="15"/>
        <v>446.92699999999996</v>
      </c>
      <c r="P245" s="193"/>
      <c r="Q245" s="214"/>
      <c r="R245" s="214"/>
      <c r="S245" s="214"/>
      <c r="T245" s="214"/>
      <c r="U245" s="214"/>
      <c r="V245" s="214"/>
    </row>
    <row r="246" spans="1:22">
      <c r="A246" s="133" t="s">
        <v>97</v>
      </c>
      <c r="B246" s="139" t="s">
        <v>314</v>
      </c>
      <c r="C246" s="135" t="s">
        <v>81</v>
      </c>
      <c r="D246" s="238">
        <v>2</v>
      </c>
      <c r="E246" s="48">
        <v>0.85</v>
      </c>
      <c r="F246" s="48">
        <v>8</v>
      </c>
      <c r="G246" s="49">
        <f t="shared" si="11"/>
        <v>6.8</v>
      </c>
      <c r="H246" s="48">
        <v>6.17</v>
      </c>
      <c r="I246" s="50">
        <v>0.15</v>
      </c>
      <c r="J246" s="51">
        <f t="shared" si="12"/>
        <v>13.12</v>
      </c>
      <c r="K246" s="52">
        <f t="shared" si="13"/>
        <v>1.7</v>
      </c>
      <c r="L246" s="50">
        <f t="shared" si="18"/>
        <v>17.68</v>
      </c>
      <c r="M246" s="50">
        <f t="shared" si="19"/>
        <v>16.042000000000002</v>
      </c>
      <c r="N246" s="50">
        <f t="shared" si="14"/>
        <v>0.3</v>
      </c>
      <c r="O246" s="28">
        <f t="shared" si="15"/>
        <v>34.021999999999998</v>
      </c>
      <c r="P246" s="193"/>
      <c r="Q246" s="214"/>
      <c r="R246" s="214"/>
      <c r="S246" s="214"/>
      <c r="T246" s="214"/>
      <c r="U246" s="214"/>
      <c r="V246" s="214"/>
    </row>
    <row r="247" spans="1:22" ht="31.5">
      <c r="A247" s="133" t="s">
        <v>99</v>
      </c>
      <c r="B247" s="139" t="s">
        <v>315</v>
      </c>
      <c r="C247" s="135" t="s">
        <v>81</v>
      </c>
      <c r="D247" s="238">
        <v>1</v>
      </c>
      <c r="E247" s="48">
        <v>2.4500000000000002</v>
      </c>
      <c r="F247" s="48">
        <v>8</v>
      </c>
      <c r="G247" s="49">
        <f t="shared" si="11"/>
        <v>19.600000000000001</v>
      </c>
      <c r="H247" s="48">
        <v>36.01</v>
      </c>
      <c r="I247" s="50">
        <v>0.15</v>
      </c>
      <c r="J247" s="51">
        <f t="shared" si="12"/>
        <v>55.76</v>
      </c>
      <c r="K247" s="52">
        <f t="shared" si="13"/>
        <v>2.4500000000000002</v>
      </c>
      <c r="L247" s="50">
        <f t="shared" si="18"/>
        <v>25.480000000000004</v>
      </c>
      <c r="M247" s="50">
        <f t="shared" si="19"/>
        <v>46.813000000000002</v>
      </c>
      <c r="N247" s="50">
        <f t="shared" si="14"/>
        <v>0.15</v>
      </c>
      <c r="O247" s="28">
        <f t="shared" si="15"/>
        <v>72.443000000000012</v>
      </c>
      <c r="P247" s="193"/>
      <c r="Q247" s="214"/>
      <c r="R247" s="214"/>
      <c r="S247" s="214"/>
      <c r="T247" s="214"/>
      <c r="U247" s="214"/>
      <c r="V247" s="214"/>
    </row>
    <row r="248" spans="1:22" ht="31.5">
      <c r="A248" s="133" t="s">
        <v>192</v>
      </c>
      <c r="B248" s="134" t="s">
        <v>317</v>
      </c>
      <c r="C248" s="133" t="s">
        <v>84</v>
      </c>
      <c r="D248" s="238">
        <v>1200</v>
      </c>
      <c r="E248" s="48">
        <v>0.35</v>
      </c>
      <c r="F248" s="48">
        <v>8</v>
      </c>
      <c r="G248" s="49">
        <f t="shared" si="11"/>
        <v>2.8</v>
      </c>
      <c r="H248" s="48">
        <v>0.5</v>
      </c>
      <c r="I248" s="50">
        <v>0.15</v>
      </c>
      <c r="J248" s="51">
        <f t="shared" si="12"/>
        <v>3.4499999999999997</v>
      </c>
      <c r="K248" s="52">
        <f t="shared" si="13"/>
        <v>420</v>
      </c>
      <c r="L248" s="50">
        <f t="shared" si="18"/>
        <v>4368</v>
      </c>
      <c r="M248" s="50">
        <f t="shared" si="19"/>
        <v>780</v>
      </c>
      <c r="N248" s="50">
        <f t="shared" si="14"/>
        <v>180</v>
      </c>
      <c r="O248" s="28">
        <f t="shared" si="15"/>
        <v>5328</v>
      </c>
      <c r="P248" s="193"/>
      <c r="Q248" s="214"/>
      <c r="R248" s="214"/>
      <c r="S248" s="214"/>
      <c r="T248" s="214"/>
      <c r="U248" s="214"/>
      <c r="V248" s="214"/>
    </row>
    <row r="249" spans="1:22">
      <c r="A249" s="133" t="s">
        <v>194</v>
      </c>
      <c r="B249" s="139" t="s">
        <v>319</v>
      </c>
      <c r="C249" s="133" t="s">
        <v>84</v>
      </c>
      <c r="D249" s="238">
        <v>330</v>
      </c>
      <c r="E249" s="48">
        <v>0.35</v>
      </c>
      <c r="F249" s="48">
        <v>8</v>
      </c>
      <c r="G249" s="49">
        <f t="shared" si="11"/>
        <v>2.8</v>
      </c>
      <c r="H249" s="48">
        <v>0.27</v>
      </c>
      <c r="I249" s="50">
        <v>0.15</v>
      </c>
      <c r="J249" s="51">
        <f t="shared" si="12"/>
        <v>3.2199999999999998</v>
      </c>
      <c r="K249" s="52">
        <f t="shared" si="13"/>
        <v>115.5</v>
      </c>
      <c r="L249" s="50">
        <f t="shared" si="18"/>
        <v>1201.2</v>
      </c>
      <c r="M249" s="50">
        <f t="shared" si="19"/>
        <v>115.83</v>
      </c>
      <c r="N249" s="50">
        <f t="shared" si="14"/>
        <v>49.5</v>
      </c>
      <c r="O249" s="28">
        <f t="shared" si="15"/>
        <v>1366.53</v>
      </c>
      <c r="P249" s="193"/>
      <c r="Q249" s="214"/>
      <c r="R249" s="214"/>
      <c r="S249" s="214"/>
      <c r="T249" s="214"/>
      <c r="U249" s="214"/>
      <c r="V249" s="214"/>
    </row>
    <row r="250" spans="1:22">
      <c r="A250" s="133" t="s">
        <v>196</v>
      </c>
      <c r="B250" s="139" t="s">
        <v>393</v>
      </c>
      <c r="C250" s="133" t="s">
        <v>84</v>
      </c>
      <c r="D250" s="238">
        <v>12</v>
      </c>
      <c r="E250" s="48">
        <v>0.35</v>
      </c>
      <c r="F250" s="48">
        <v>8</v>
      </c>
      <c r="G250" s="49">
        <f t="shared" si="11"/>
        <v>2.8</v>
      </c>
      <c r="H250" s="48">
        <v>0.4</v>
      </c>
      <c r="I250" s="50">
        <v>0.15</v>
      </c>
      <c r="J250" s="51">
        <f t="shared" si="12"/>
        <v>3.3499999999999996</v>
      </c>
      <c r="K250" s="52">
        <f t="shared" si="13"/>
        <v>4.2</v>
      </c>
      <c r="L250" s="50">
        <f t="shared" si="18"/>
        <v>43.680000000000007</v>
      </c>
      <c r="M250" s="50">
        <f t="shared" si="19"/>
        <v>6.24</v>
      </c>
      <c r="N250" s="50">
        <f t="shared" si="14"/>
        <v>1.8</v>
      </c>
      <c r="O250" s="28">
        <f t="shared" si="15"/>
        <v>51.720000000000006</v>
      </c>
      <c r="P250" s="193"/>
      <c r="Q250" s="214"/>
      <c r="R250" s="214"/>
      <c r="S250" s="214"/>
      <c r="T250" s="214"/>
      <c r="U250" s="214"/>
      <c r="V250" s="214"/>
    </row>
    <row r="251" spans="1:22" ht="31.5">
      <c r="A251" s="133" t="s">
        <v>198</v>
      </c>
      <c r="B251" s="139" t="s">
        <v>320</v>
      </c>
      <c r="C251" s="133" t="s">
        <v>81</v>
      </c>
      <c r="D251" s="238">
        <v>12</v>
      </c>
      <c r="E251" s="48">
        <v>0.65</v>
      </c>
      <c r="F251" s="48">
        <v>8</v>
      </c>
      <c r="G251" s="49">
        <f t="shared" si="11"/>
        <v>5.2</v>
      </c>
      <c r="H251" s="48">
        <v>0.35</v>
      </c>
      <c r="I251" s="50">
        <v>0.15</v>
      </c>
      <c r="J251" s="51">
        <f t="shared" si="12"/>
        <v>5.7</v>
      </c>
      <c r="K251" s="52">
        <f t="shared" si="13"/>
        <v>7.8</v>
      </c>
      <c r="L251" s="50">
        <f t="shared" si="18"/>
        <v>81.12</v>
      </c>
      <c r="M251" s="50">
        <f t="shared" si="19"/>
        <v>5.4600000000000009</v>
      </c>
      <c r="N251" s="50">
        <f t="shared" si="14"/>
        <v>1.8</v>
      </c>
      <c r="O251" s="28">
        <f t="shared" si="15"/>
        <v>88.38000000000001</v>
      </c>
      <c r="P251" s="193"/>
      <c r="Q251" s="214"/>
      <c r="R251" s="214"/>
      <c r="S251" s="214"/>
      <c r="T251" s="214"/>
      <c r="U251" s="214"/>
      <c r="V251" s="214"/>
    </row>
    <row r="252" spans="1:22" ht="31.5">
      <c r="A252" s="133" t="s">
        <v>200</v>
      </c>
      <c r="B252" s="139" t="s">
        <v>321</v>
      </c>
      <c r="C252" s="133" t="s">
        <v>105</v>
      </c>
      <c r="D252" s="238">
        <v>4</v>
      </c>
      <c r="E252" s="48">
        <v>12</v>
      </c>
      <c r="F252" s="48">
        <v>8</v>
      </c>
      <c r="G252" s="49">
        <f t="shared" si="11"/>
        <v>96</v>
      </c>
      <c r="H252" s="48">
        <v>22.7</v>
      </c>
      <c r="I252" s="50">
        <v>0.15</v>
      </c>
      <c r="J252" s="51">
        <f t="shared" si="12"/>
        <v>118.85000000000001</v>
      </c>
      <c r="K252" s="52">
        <f t="shared" si="13"/>
        <v>48</v>
      </c>
      <c r="L252" s="50">
        <f t="shared" si="18"/>
        <v>499.20000000000005</v>
      </c>
      <c r="M252" s="50">
        <f t="shared" si="19"/>
        <v>118.04</v>
      </c>
      <c r="N252" s="50">
        <f t="shared" si="14"/>
        <v>0.6</v>
      </c>
      <c r="O252" s="28">
        <f t="shared" si="15"/>
        <v>617.84</v>
      </c>
      <c r="P252" s="193"/>
      <c r="Q252" s="214"/>
      <c r="R252" s="214"/>
      <c r="S252" s="214"/>
      <c r="T252" s="214"/>
      <c r="U252" s="214"/>
      <c r="V252" s="214"/>
    </row>
    <row r="253" spans="1:22" ht="31.5">
      <c r="A253" s="133" t="s">
        <v>202</v>
      </c>
      <c r="B253" s="139" t="s">
        <v>322</v>
      </c>
      <c r="C253" s="133" t="s">
        <v>105</v>
      </c>
      <c r="D253" s="238">
        <v>1</v>
      </c>
      <c r="E253" s="48">
        <v>15</v>
      </c>
      <c r="F253" s="48">
        <v>8</v>
      </c>
      <c r="G253" s="49">
        <f t="shared" si="11"/>
        <v>120</v>
      </c>
      <c r="H253" s="48">
        <v>0</v>
      </c>
      <c r="I253" s="50">
        <v>0.15</v>
      </c>
      <c r="J253" s="51">
        <f t="shared" si="12"/>
        <v>120.15</v>
      </c>
      <c r="K253" s="52">
        <f t="shared" si="13"/>
        <v>15</v>
      </c>
      <c r="L253" s="50">
        <f t="shared" si="18"/>
        <v>156</v>
      </c>
      <c r="M253" s="50">
        <f t="shared" si="19"/>
        <v>0</v>
      </c>
      <c r="N253" s="50">
        <f t="shared" si="14"/>
        <v>0.15</v>
      </c>
      <c r="O253" s="28">
        <f t="shared" si="15"/>
        <v>156.15</v>
      </c>
      <c r="P253" s="193"/>
      <c r="Q253" s="214"/>
      <c r="R253" s="214"/>
      <c r="S253" s="214"/>
      <c r="T253" s="214"/>
      <c r="U253" s="214"/>
      <c r="V253" s="214"/>
    </row>
    <row r="254" spans="1:22">
      <c r="A254" s="71"/>
      <c r="B254" s="84" t="s">
        <v>323</v>
      </c>
      <c r="C254" s="71"/>
      <c r="D254" s="71"/>
      <c r="E254" s="71"/>
      <c r="F254" s="71"/>
      <c r="G254" s="71"/>
      <c r="H254" s="71"/>
      <c r="I254" s="71"/>
      <c r="J254" s="71"/>
      <c r="K254" s="71"/>
      <c r="L254" s="44"/>
      <c r="M254" s="44"/>
      <c r="N254" s="71"/>
      <c r="O254" s="71"/>
      <c r="P254" s="193"/>
      <c r="Q254" s="214"/>
      <c r="R254" s="214"/>
      <c r="S254" s="214"/>
      <c r="T254" s="214"/>
      <c r="U254" s="214"/>
      <c r="V254" s="214"/>
    </row>
    <row r="255" spans="1:22">
      <c r="A255" s="133" t="s">
        <v>39</v>
      </c>
      <c r="B255" s="139" t="s">
        <v>394</v>
      </c>
      <c r="C255" s="133" t="s">
        <v>81</v>
      </c>
      <c r="D255" s="238">
        <v>2</v>
      </c>
      <c r="E255" s="48">
        <v>8</v>
      </c>
      <c r="F255" s="48">
        <v>8</v>
      </c>
      <c r="G255" s="49">
        <f t="shared" si="11"/>
        <v>64</v>
      </c>
      <c r="H255" s="48">
        <v>24.77</v>
      </c>
      <c r="I255" s="50">
        <v>0.15</v>
      </c>
      <c r="J255" s="51">
        <f t="shared" si="12"/>
        <v>88.92</v>
      </c>
      <c r="K255" s="52">
        <f t="shared" si="13"/>
        <v>16</v>
      </c>
      <c r="L255" s="50">
        <f t="shared" si="18"/>
        <v>166.4</v>
      </c>
      <c r="M255" s="50">
        <f t="shared" si="19"/>
        <v>64.402000000000001</v>
      </c>
      <c r="N255" s="50">
        <f t="shared" si="14"/>
        <v>0.3</v>
      </c>
      <c r="O255" s="28">
        <f t="shared" si="15"/>
        <v>231.10200000000003</v>
      </c>
      <c r="P255" s="193"/>
      <c r="Q255" s="214"/>
      <c r="R255" s="214"/>
      <c r="S255" s="214"/>
      <c r="T255" s="214"/>
      <c r="U255" s="214"/>
      <c r="V255" s="214"/>
    </row>
    <row r="256" spans="1:22">
      <c r="A256" s="133" t="s">
        <v>71</v>
      </c>
      <c r="B256" s="139" t="s">
        <v>326</v>
      </c>
      <c r="C256" s="133" t="s">
        <v>81</v>
      </c>
      <c r="D256" s="238">
        <v>1</v>
      </c>
      <c r="E256" s="48">
        <v>8</v>
      </c>
      <c r="F256" s="48">
        <v>8</v>
      </c>
      <c r="G256" s="49">
        <f t="shared" si="11"/>
        <v>64</v>
      </c>
      <c r="H256" s="48">
        <v>23.28</v>
      </c>
      <c r="I256" s="50">
        <v>0.15</v>
      </c>
      <c r="J256" s="51">
        <f t="shared" si="12"/>
        <v>87.43</v>
      </c>
      <c r="K256" s="52">
        <f t="shared" si="13"/>
        <v>8</v>
      </c>
      <c r="L256" s="50">
        <f t="shared" si="18"/>
        <v>83.2</v>
      </c>
      <c r="M256" s="50">
        <f t="shared" si="19"/>
        <v>30.264000000000003</v>
      </c>
      <c r="N256" s="50">
        <f t="shared" si="14"/>
        <v>0.15</v>
      </c>
      <c r="O256" s="28">
        <f t="shared" si="15"/>
        <v>113.614</v>
      </c>
      <c r="P256" s="193"/>
      <c r="Q256" s="214"/>
      <c r="R256" s="214"/>
      <c r="S256" s="214"/>
      <c r="T256" s="214"/>
      <c r="U256" s="214"/>
      <c r="V256" s="214"/>
    </row>
    <row r="257" spans="1:22">
      <c r="A257" s="133" t="s">
        <v>74</v>
      </c>
      <c r="B257" s="134" t="s">
        <v>328</v>
      </c>
      <c r="C257" s="133" t="s">
        <v>81</v>
      </c>
      <c r="D257" s="238">
        <v>1</v>
      </c>
      <c r="E257" s="48">
        <v>8</v>
      </c>
      <c r="F257" s="48">
        <v>8</v>
      </c>
      <c r="G257" s="49">
        <f t="shared" si="11"/>
        <v>64</v>
      </c>
      <c r="H257" s="48">
        <v>12.84</v>
      </c>
      <c r="I257" s="50">
        <v>0.15</v>
      </c>
      <c r="J257" s="51">
        <f t="shared" si="12"/>
        <v>76.990000000000009</v>
      </c>
      <c r="K257" s="52">
        <f t="shared" si="13"/>
        <v>8</v>
      </c>
      <c r="L257" s="50">
        <f t="shared" si="18"/>
        <v>83.2</v>
      </c>
      <c r="M257" s="50">
        <f t="shared" si="19"/>
        <v>16.692</v>
      </c>
      <c r="N257" s="50">
        <f t="shared" si="14"/>
        <v>0.15</v>
      </c>
      <c r="O257" s="28">
        <f t="shared" si="15"/>
        <v>100.042</v>
      </c>
      <c r="P257" s="193"/>
      <c r="Q257" s="214"/>
      <c r="R257" s="214"/>
      <c r="S257" s="214"/>
      <c r="T257" s="214"/>
      <c r="U257" s="214"/>
      <c r="V257" s="214"/>
    </row>
    <row r="258" spans="1:22" ht="47.25">
      <c r="A258" s="133" t="s">
        <v>77</v>
      </c>
      <c r="B258" s="139" t="s">
        <v>332</v>
      </c>
      <c r="C258" s="133" t="s">
        <v>81</v>
      </c>
      <c r="D258" s="238">
        <v>26</v>
      </c>
      <c r="E258" s="48">
        <v>0.45</v>
      </c>
      <c r="F258" s="48">
        <v>8</v>
      </c>
      <c r="G258" s="49">
        <f t="shared" si="11"/>
        <v>3.6</v>
      </c>
      <c r="H258" s="48">
        <v>3.21</v>
      </c>
      <c r="I258" s="50">
        <v>0.15</v>
      </c>
      <c r="J258" s="51">
        <f t="shared" si="12"/>
        <v>6.9600000000000009</v>
      </c>
      <c r="K258" s="52">
        <f t="shared" si="13"/>
        <v>11.7</v>
      </c>
      <c r="L258" s="50">
        <f t="shared" si="18"/>
        <v>121.67999999999999</v>
      </c>
      <c r="M258" s="50">
        <f t="shared" si="19"/>
        <v>108.49799999999999</v>
      </c>
      <c r="N258" s="50">
        <f t="shared" si="14"/>
        <v>3.9</v>
      </c>
      <c r="O258" s="28">
        <f t="shared" si="15"/>
        <v>234.078</v>
      </c>
      <c r="P258" s="193"/>
      <c r="Q258" s="214"/>
      <c r="R258" s="214"/>
      <c r="S258" s="214"/>
      <c r="T258" s="214"/>
      <c r="U258" s="214"/>
      <c r="V258" s="214"/>
    </row>
    <row r="259" spans="1:22" ht="31.5">
      <c r="A259" s="133"/>
      <c r="B259" s="139" t="s">
        <v>395</v>
      </c>
      <c r="C259" s="133" t="s">
        <v>81</v>
      </c>
      <c r="D259" s="238">
        <v>6</v>
      </c>
      <c r="E259" s="48">
        <v>0.65</v>
      </c>
      <c r="F259" s="48">
        <v>8</v>
      </c>
      <c r="G259" s="49">
        <f t="shared" si="11"/>
        <v>5.2</v>
      </c>
      <c r="H259" s="48">
        <v>8.56</v>
      </c>
      <c r="I259" s="50">
        <v>0.15</v>
      </c>
      <c r="J259" s="51">
        <f t="shared" si="12"/>
        <v>13.910000000000002</v>
      </c>
      <c r="K259" s="52">
        <f>ROUND(D259*E259,2)</f>
        <v>3.9</v>
      </c>
      <c r="L259" s="50">
        <f t="shared" si="18"/>
        <v>40.56</v>
      </c>
      <c r="M259" s="50">
        <f t="shared" si="19"/>
        <v>66.768000000000001</v>
      </c>
      <c r="N259" s="50">
        <f>ROUND(D259*I259,2)</f>
        <v>0.9</v>
      </c>
      <c r="O259" s="28">
        <f>SUM(L259:N259)</f>
        <v>108.22800000000001</v>
      </c>
      <c r="P259" s="193"/>
      <c r="Q259" s="214"/>
      <c r="R259" s="214"/>
      <c r="S259" s="214"/>
      <c r="T259" s="214"/>
      <c r="U259" s="214"/>
      <c r="V259" s="214"/>
    </row>
    <row r="260" spans="1:22" ht="47.25">
      <c r="A260" s="133" t="s">
        <v>79</v>
      </c>
      <c r="B260" s="139" t="s">
        <v>333</v>
      </c>
      <c r="C260" s="133" t="s">
        <v>81</v>
      </c>
      <c r="D260" s="238">
        <v>32</v>
      </c>
      <c r="E260" s="48">
        <v>0.9</v>
      </c>
      <c r="F260" s="48">
        <v>8</v>
      </c>
      <c r="G260" s="49">
        <f t="shared" si="11"/>
        <v>7.2</v>
      </c>
      <c r="H260" s="48">
        <v>3.21</v>
      </c>
      <c r="I260" s="50">
        <v>0.15</v>
      </c>
      <c r="J260" s="51">
        <f t="shared" si="12"/>
        <v>10.56</v>
      </c>
      <c r="K260" s="52">
        <f t="shared" si="13"/>
        <v>28.8</v>
      </c>
      <c r="L260" s="50">
        <f t="shared" si="18"/>
        <v>299.52000000000004</v>
      </c>
      <c r="M260" s="50">
        <f t="shared" si="19"/>
        <v>133.536</v>
      </c>
      <c r="N260" s="50">
        <f>ROUND(D260*I260,2)</f>
        <v>4.8</v>
      </c>
      <c r="O260" s="28">
        <f t="shared" si="15"/>
        <v>437.85600000000005</v>
      </c>
      <c r="P260" s="193"/>
      <c r="Q260" s="214"/>
      <c r="R260" s="214"/>
      <c r="S260" s="214"/>
      <c r="T260" s="214"/>
      <c r="U260" s="214"/>
      <c r="V260" s="214"/>
    </row>
    <row r="261" spans="1:22" ht="31.5">
      <c r="A261" s="133" t="s">
        <v>82</v>
      </c>
      <c r="B261" s="139" t="s">
        <v>334</v>
      </c>
      <c r="C261" s="135" t="s">
        <v>81</v>
      </c>
      <c r="D261" s="238">
        <v>64</v>
      </c>
      <c r="E261" s="48">
        <v>9.4499999999999993</v>
      </c>
      <c r="F261" s="48">
        <v>8</v>
      </c>
      <c r="G261" s="49">
        <f t="shared" si="11"/>
        <v>75.599999999999994</v>
      </c>
      <c r="H261" s="48">
        <v>0.86</v>
      </c>
      <c r="I261" s="50">
        <v>0.15</v>
      </c>
      <c r="J261" s="51">
        <f t="shared" si="12"/>
        <v>76.61</v>
      </c>
      <c r="K261" s="52">
        <f t="shared" si="13"/>
        <v>604.79999999999995</v>
      </c>
      <c r="L261" s="50">
        <f t="shared" si="18"/>
        <v>6289.92</v>
      </c>
      <c r="M261" s="50">
        <f t="shared" si="19"/>
        <v>71.552000000000007</v>
      </c>
      <c r="N261" s="50">
        <f t="shared" si="14"/>
        <v>9.6</v>
      </c>
      <c r="O261" s="28">
        <f t="shared" si="15"/>
        <v>6371.0720000000001</v>
      </c>
      <c r="P261" s="193"/>
      <c r="Q261" s="214"/>
      <c r="R261" s="214"/>
      <c r="S261" s="214"/>
      <c r="T261" s="214"/>
      <c r="U261" s="214"/>
      <c r="V261" s="214"/>
    </row>
    <row r="262" spans="1:22" ht="31.5">
      <c r="A262" s="133" t="s">
        <v>85</v>
      </c>
      <c r="B262" s="139" t="s">
        <v>335</v>
      </c>
      <c r="C262" s="135" t="s">
        <v>84</v>
      </c>
      <c r="D262" s="238">
        <v>1600</v>
      </c>
      <c r="E262" s="48">
        <v>0.55000000000000004</v>
      </c>
      <c r="F262" s="48">
        <v>8</v>
      </c>
      <c r="G262" s="49">
        <f t="shared" si="11"/>
        <v>4.4000000000000004</v>
      </c>
      <c r="H262" s="48">
        <v>0.59</v>
      </c>
      <c r="I262" s="50">
        <v>0.15</v>
      </c>
      <c r="J262" s="51">
        <f t="shared" si="12"/>
        <v>5.1400000000000006</v>
      </c>
      <c r="K262" s="52">
        <f t="shared" si="13"/>
        <v>880</v>
      </c>
      <c r="L262" s="50">
        <f t="shared" si="18"/>
        <v>9152</v>
      </c>
      <c r="M262" s="50">
        <f t="shared" si="19"/>
        <v>1227.2</v>
      </c>
      <c r="N262" s="50">
        <f t="shared" si="14"/>
        <v>240</v>
      </c>
      <c r="O262" s="28">
        <f t="shared" si="15"/>
        <v>10619.2</v>
      </c>
      <c r="P262" s="193"/>
      <c r="Q262" s="214"/>
      <c r="R262" s="214"/>
      <c r="S262" s="214"/>
      <c r="T262" s="214"/>
      <c r="U262" s="214"/>
      <c r="V262" s="214"/>
    </row>
    <row r="263" spans="1:22">
      <c r="A263" s="133" t="s">
        <v>87</v>
      </c>
      <c r="B263" s="139" t="s">
        <v>337</v>
      </c>
      <c r="C263" s="135" t="s">
        <v>84</v>
      </c>
      <c r="D263" s="238">
        <v>225</v>
      </c>
      <c r="E263" s="48">
        <v>1.45</v>
      </c>
      <c r="F263" s="48">
        <v>8</v>
      </c>
      <c r="G263" s="49">
        <f t="shared" si="11"/>
        <v>11.6</v>
      </c>
      <c r="H263" s="48">
        <v>0.13</v>
      </c>
      <c r="I263" s="50">
        <v>0.15</v>
      </c>
      <c r="J263" s="51">
        <f t="shared" si="12"/>
        <v>11.88</v>
      </c>
      <c r="K263" s="52">
        <f t="shared" si="13"/>
        <v>326.25</v>
      </c>
      <c r="L263" s="50">
        <f t="shared" si="18"/>
        <v>3393</v>
      </c>
      <c r="M263" s="50">
        <f t="shared" si="19"/>
        <v>38.024999999999999</v>
      </c>
      <c r="N263" s="50">
        <f t="shared" si="14"/>
        <v>33.75</v>
      </c>
      <c r="O263" s="28">
        <f t="shared" si="15"/>
        <v>3464.7750000000001</v>
      </c>
      <c r="P263" s="193"/>
      <c r="Q263" s="214"/>
      <c r="R263" s="214"/>
      <c r="S263" s="214"/>
      <c r="T263" s="214"/>
      <c r="U263" s="214"/>
      <c r="V263" s="214"/>
    </row>
    <row r="264" spans="1:22">
      <c r="A264" s="133" t="s">
        <v>89</v>
      </c>
      <c r="B264" s="139" t="s">
        <v>338</v>
      </c>
      <c r="C264" s="135" t="s">
        <v>105</v>
      </c>
      <c r="D264" s="238">
        <v>1</v>
      </c>
      <c r="E264" s="48">
        <v>1.85</v>
      </c>
      <c r="F264" s="48">
        <v>8</v>
      </c>
      <c r="G264" s="49">
        <f t="shared" si="11"/>
        <v>14.8</v>
      </c>
      <c r="H264" s="48">
        <v>15.84</v>
      </c>
      <c r="I264" s="50">
        <v>0.15</v>
      </c>
      <c r="J264" s="51">
        <f t="shared" si="12"/>
        <v>30.79</v>
      </c>
      <c r="K264" s="52">
        <f t="shared" si="13"/>
        <v>1.85</v>
      </c>
      <c r="L264" s="50">
        <f t="shared" si="18"/>
        <v>19.240000000000002</v>
      </c>
      <c r="M264" s="50">
        <f t="shared" si="19"/>
        <v>20.591999999999999</v>
      </c>
      <c r="N264" s="50">
        <f t="shared" si="14"/>
        <v>0.15</v>
      </c>
      <c r="O264" s="28">
        <f t="shared" si="15"/>
        <v>39.981999999999999</v>
      </c>
      <c r="P264" s="193"/>
      <c r="Q264" s="214"/>
      <c r="R264" s="214"/>
      <c r="S264" s="214"/>
      <c r="T264" s="214"/>
      <c r="U264" s="214"/>
      <c r="V264" s="214"/>
    </row>
    <row r="265" spans="1:22">
      <c r="A265" s="133" t="s">
        <v>91</v>
      </c>
      <c r="B265" s="137" t="s">
        <v>340</v>
      </c>
      <c r="C265" s="135" t="s">
        <v>81</v>
      </c>
      <c r="D265" s="238">
        <v>1</v>
      </c>
      <c r="E265" s="48">
        <v>0.65</v>
      </c>
      <c r="F265" s="48">
        <v>8</v>
      </c>
      <c r="G265" s="49">
        <f t="shared" si="11"/>
        <v>5.2</v>
      </c>
      <c r="H265" s="48">
        <v>4.43</v>
      </c>
      <c r="I265" s="50">
        <v>0.15</v>
      </c>
      <c r="J265" s="51">
        <f t="shared" si="12"/>
        <v>9.7799999999999994</v>
      </c>
      <c r="K265" s="52">
        <f t="shared" si="13"/>
        <v>0.65</v>
      </c>
      <c r="L265" s="50">
        <f t="shared" si="18"/>
        <v>6.7600000000000007</v>
      </c>
      <c r="M265" s="50">
        <f t="shared" si="19"/>
        <v>5.7589999999999995</v>
      </c>
      <c r="N265" s="50">
        <f t="shared" si="14"/>
        <v>0.15</v>
      </c>
      <c r="O265" s="28">
        <f t="shared" si="15"/>
        <v>12.669</v>
      </c>
      <c r="P265" s="193"/>
      <c r="Q265" s="214"/>
      <c r="R265" s="214"/>
      <c r="S265" s="214"/>
      <c r="T265" s="214"/>
      <c r="U265" s="214"/>
      <c r="V265" s="214"/>
    </row>
    <row r="266" spans="1:22">
      <c r="A266" s="133" t="s">
        <v>93</v>
      </c>
      <c r="B266" s="139" t="s">
        <v>319</v>
      </c>
      <c r="C266" s="133" t="s">
        <v>84</v>
      </c>
      <c r="D266" s="238">
        <v>300</v>
      </c>
      <c r="E266" s="48">
        <v>0.25</v>
      </c>
      <c r="F266" s="48">
        <v>8</v>
      </c>
      <c r="G266" s="49">
        <f t="shared" si="11"/>
        <v>2</v>
      </c>
      <c r="H266" s="48">
        <v>0.32</v>
      </c>
      <c r="I266" s="50">
        <v>0.15</v>
      </c>
      <c r="J266" s="51">
        <f t="shared" si="12"/>
        <v>2.4699999999999998</v>
      </c>
      <c r="K266" s="52">
        <f t="shared" si="13"/>
        <v>75</v>
      </c>
      <c r="L266" s="50">
        <f t="shared" si="18"/>
        <v>780</v>
      </c>
      <c r="M266" s="50">
        <f t="shared" si="19"/>
        <v>124.80000000000001</v>
      </c>
      <c r="N266" s="50">
        <f t="shared" si="14"/>
        <v>45</v>
      </c>
      <c r="O266" s="28">
        <f t="shared" si="15"/>
        <v>949.8</v>
      </c>
      <c r="P266" s="193"/>
      <c r="Q266" s="214"/>
      <c r="R266" s="214"/>
      <c r="S266" s="214"/>
      <c r="T266" s="214"/>
      <c r="U266" s="214"/>
      <c r="V266" s="214"/>
    </row>
    <row r="267" spans="1:22" ht="15.75" customHeight="1">
      <c r="A267" s="133" t="s">
        <v>95</v>
      </c>
      <c r="B267" s="139" t="s">
        <v>320</v>
      </c>
      <c r="C267" s="135" t="s">
        <v>81</v>
      </c>
      <c r="D267" s="238">
        <v>14</v>
      </c>
      <c r="E267" s="48">
        <v>0.65</v>
      </c>
      <c r="F267" s="48">
        <v>8</v>
      </c>
      <c r="G267" s="49">
        <f t="shared" si="11"/>
        <v>5.2</v>
      </c>
      <c r="H267" s="48">
        <v>0.42</v>
      </c>
      <c r="I267" s="50">
        <v>0.15</v>
      </c>
      <c r="J267" s="51">
        <f t="shared" si="12"/>
        <v>5.7700000000000005</v>
      </c>
      <c r="K267" s="52">
        <f t="shared" si="13"/>
        <v>9.1</v>
      </c>
      <c r="L267" s="50">
        <f t="shared" si="18"/>
        <v>94.64</v>
      </c>
      <c r="M267" s="50">
        <f t="shared" si="19"/>
        <v>7.6440000000000001</v>
      </c>
      <c r="N267" s="50">
        <f t="shared" si="14"/>
        <v>2.1</v>
      </c>
      <c r="O267" s="28">
        <f t="shared" si="15"/>
        <v>104.384</v>
      </c>
      <c r="P267" s="193"/>
      <c r="Q267" s="214"/>
      <c r="R267" s="214"/>
      <c r="S267" s="214"/>
      <c r="T267" s="214"/>
      <c r="U267" s="214"/>
      <c r="V267" s="214"/>
    </row>
    <row r="268" spans="1:22" ht="12" customHeight="1">
      <c r="A268" s="133" t="s">
        <v>97</v>
      </c>
      <c r="B268" s="139" t="s">
        <v>341</v>
      </c>
      <c r="C268" s="135" t="s">
        <v>81</v>
      </c>
      <c r="D268" s="238">
        <v>1</v>
      </c>
      <c r="E268" s="48">
        <v>0.85</v>
      </c>
      <c r="F268" s="48">
        <v>8</v>
      </c>
      <c r="G268" s="49">
        <f t="shared" si="11"/>
        <v>6.8</v>
      </c>
      <c r="H268" s="48">
        <v>2.78</v>
      </c>
      <c r="I268" s="50">
        <v>0.15</v>
      </c>
      <c r="J268" s="51">
        <f t="shared" si="12"/>
        <v>9.73</v>
      </c>
      <c r="K268" s="52">
        <f t="shared" si="13"/>
        <v>0.85</v>
      </c>
      <c r="L268" s="50">
        <f t="shared" si="18"/>
        <v>8.84</v>
      </c>
      <c r="M268" s="50">
        <f t="shared" si="19"/>
        <v>3.6139999999999999</v>
      </c>
      <c r="N268" s="50">
        <f t="shared" si="14"/>
        <v>0.15</v>
      </c>
      <c r="O268" s="28">
        <f t="shared" si="15"/>
        <v>12.604000000000001</v>
      </c>
      <c r="P268" s="193"/>
      <c r="Q268" s="214"/>
      <c r="R268" s="214"/>
      <c r="S268" s="214"/>
      <c r="T268" s="214"/>
      <c r="U268" s="214"/>
      <c r="V268" s="214"/>
    </row>
    <row r="269" spans="1:22" ht="31.5">
      <c r="A269" s="133" t="s">
        <v>99</v>
      </c>
      <c r="B269" s="134" t="s">
        <v>321</v>
      </c>
      <c r="C269" s="135" t="s">
        <v>105</v>
      </c>
      <c r="D269" s="238">
        <v>3</v>
      </c>
      <c r="E269" s="48">
        <v>15</v>
      </c>
      <c r="F269" s="48">
        <v>8</v>
      </c>
      <c r="G269" s="49">
        <f t="shared" si="11"/>
        <v>120</v>
      </c>
      <c r="H269" s="48">
        <v>26.75</v>
      </c>
      <c r="I269" s="50">
        <v>0.15</v>
      </c>
      <c r="J269" s="51">
        <f t="shared" si="12"/>
        <v>146.9</v>
      </c>
      <c r="K269" s="52">
        <f t="shared" si="13"/>
        <v>45</v>
      </c>
      <c r="L269" s="50">
        <f t="shared" si="18"/>
        <v>468</v>
      </c>
      <c r="M269" s="50">
        <f t="shared" si="19"/>
        <v>104.325</v>
      </c>
      <c r="N269" s="50">
        <f t="shared" si="14"/>
        <v>0.45</v>
      </c>
      <c r="O269" s="28">
        <f t="shared" si="15"/>
        <v>572.77500000000009</v>
      </c>
      <c r="P269" s="193"/>
      <c r="Q269" s="214"/>
      <c r="R269" s="214"/>
      <c r="S269" s="214"/>
      <c r="T269" s="214"/>
      <c r="U269" s="214"/>
      <c r="V269" s="214"/>
    </row>
    <row r="270" spans="1:22" ht="31.5">
      <c r="A270" s="150" t="s">
        <v>192</v>
      </c>
      <c r="B270" s="241" t="s">
        <v>342</v>
      </c>
      <c r="C270" s="138" t="s">
        <v>105</v>
      </c>
      <c r="D270" s="240">
        <v>1</v>
      </c>
      <c r="E270" s="242">
        <v>12</v>
      </c>
      <c r="F270" s="242">
        <v>8</v>
      </c>
      <c r="G270" s="243">
        <f t="shared" si="11"/>
        <v>96</v>
      </c>
      <c r="H270" s="242">
        <v>0</v>
      </c>
      <c r="I270" s="244">
        <v>0.15</v>
      </c>
      <c r="J270" s="245">
        <f t="shared" si="12"/>
        <v>96.15</v>
      </c>
      <c r="K270" s="246">
        <f t="shared" si="13"/>
        <v>12</v>
      </c>
      <c r="L270" s="244">
        <f t="shared" si="18"/>
        <v>124.80000000000001</v>
      </c>
      <c r="M270" s="244">
        <f t="shared" si="19"/>
        <v>0</v>
      </c>
      <c r="N270" s="244">
        <f t="shared" si="14"/>
        <v>0.15</v>
      </c>
      <c r="O270" s="247">
        <f t="shared" si="15"/>
        <v>124.95000000000002</v>
      </c>
      <c r="P270" s="193"/>
      <c r="Q270" s="214"/>
      <c r="R270" s="214"/>
      <c r="S270" s="214"/>
      <c r="T270" s="214"/>
      <c r="U270" s="214"/>
      <c r="V270" s="214"/>
    </row>
    <row r="271" spans="1:22" ht="31.5">
      <c r="A271" s="39"/>
      <c r="B271" s="40" t="s">
        <v>396</v>
      </c>
      <c r="C271" s="39"/>
      <c r="D271" s="41"/>
      <c r="E271" s="42"/>
      <c r="F271" s="42"/>
      <c r="G271" s="44"/>
      <c r="H271" s="42"/>
      <c r="I271" s="44"/>
      <c r="J271" s="45"/>
      <c r="K271" s="46"/>
      <c r="L271" s="44"/>
      <c r="M271" s="44"/>
      <c r="N271" s="44"/>
      <c r="O271" s="30"/>
      <c r="P271" s="193"/>
      <c r="Q271" s="214"/>
      <c r="R271" s="214"/>
      <c r="S271" s="214"/>
      <c r="T271" s="214"/>
      <c r="U271" s="214"/>
      <c r="V271" s="214"/>
    </row>
    <row r="272" spans="1:22">
      <c r="A272" s="39"/>
      <c r="B272" s="82" t="s">
        <v>373</v>
      </c>
      <c r="C272" s="39"/>
      <c r="D272" s="41"/>
      <c r="E272" s="42"/>
      <c r="F272" s="42"/>
      <c r="G272" s="44"/>
      <c r="H272" s="42"/>
      <c r="I272" s="44"/>
      <c r="J272" s="45"/>
      <c r="K272" s="46"/>
      <c r="L272" s="44"/>
      <c r="M272" s="44"/>
      <c r="N272" s="44"/>
      <c r="O272" s="30"/>
      <c r="P272" s="193"/>
      <c r="Q272" s="214"/>
      <c r="R272" s="214"/>
      <c r="S272" s="214"/>
      <c r="T272" s="214"/>
      <c r="U272" s="214"/>
      <c r="V272" s="214"/>
    </row>
    <row r="273" spans="1:22">
      <c r="A273" s="36" t="s">
        <v>39</v>
      </c>
      <c r="B273" s="181" t="s">
        <v>178</v>
      </c>
      <c r="C273" s="182" t="s">
        <v>81</v>
      </c>
      <c r="D273" s="237">
        <v>3</v>
      </c>
      <c r="E273" s="248">
        <v>0.45</v>
      </c>
      <c r="F273" s="248">
        <v>8</v>
      </c>
      <c r="G273" s="49">
        <f t="shared" ref="G273:G352" si="20">ROUND(E273*F273,2)</f>
        <v>3.6</v>
      </c>
      <c r="H273" s="48">
        <v>12.91</v>
      </c>
      <c r="I273" s="50">
        <v>0.1</v>
      </c>
      <c r="J273" s="51">
        <f t="shared" ref="J273:J352" si="21">SUM(G273:I273)</f>
        <v>16.610000000000003</v>
      </c>
      <c r="K273" s="52">
        <f t="shared" ref="K273:K352" si="22">ROUND(D273*E273,2)</f>
        <v>1.35</v>
      </c>
      <c r="L273" s="50">
        <f>ROUND(D273*G273,2)*1.3</f>
        <v>14.040000000000001</v>
      </c>
      <c r="M273" s="50">
        <f>ROUND(D273*H273,2)*1.3</f>
        <v>50.348999999999997</v>
      </c>
      <c r="N273" s="50">
        <f t="shared" ref="N273:N352" si="23">ROUND(D273*I273,2)</f>
        <v>0.3</v>
      </c>
      <c r="O273" s="28">
        <f t="shared" ref="O273:O352" si="24">SUM(L273:N273)</f>
        <v>64.688999999999993</v>
      </c>
      <c r="P273" s="193"/>
      <c r="Q273" s="214"/>
      <c r="R273" s="214"/>
      <c r="S273" s="214"/>
      <c r="T273" s="214"/>
      <c r="U273" s="214"/>
      <c r="V273" s="214"/>
    </row>
    <row r="274" spans="1:22">
      <c r="A274" s="133" t="s">
        <v>71</v>
      </c>
      <c r="B274" s="134" t="s">
        <v>179</v>
      </c>
      <c r="C274" s="135" t="s">
        <v>81</v>
      </c>
      <c r="D274" s="238">
        <v>10</v>
      </c>
      <c r="E274" s="48">
        <v>0.45</v>
      </c>
      <c r="F274" s="48">
        <v>8</v>
      </c>
      <c r="G274" s="49">
        <f t="shared" si="20"/>
        <v>3.6</v>
      </c>
      <c r="H274" s="48">
        <v>1.35</v>
      </c>
      <c r="I274" s="50">
        <v>0.1</v>
      </c>
      <c r="J274" s="51">
        <f t="shared" si="21"/>
        <v>5.05</v>
      </c>
      <c r="K274" s="52">
        <f t="shared" si="22"/>
        <v>4.5</v>
      </c>
      <c r="L274" s="50">
        <f>ROUND(D274*G274,2)*1.3</f>
        <v>46.800000000000004</v>
      </c>
      <c r="M274" s="50">
        <f>ROUND(D274*H274,2)*1.3</f>
        <v>17.55</v>
      </c>
      <c r="N274" s="50">
        <f t="shared" si="23"/>
        <v>1</v>
      </c>
      <c r="O274" s="28">
        <f t="shared" si="24"/>
        <v>65.350000000000009</v>
      </c>
      <c r="P274" s="193"/>
      <c r="Q274" s="214"/>
      <c r="R274" s="214"/>
      <c r="S274" s="214"/>
      <c r="T274" s="214"/>
      <c r="U274" s="214"/>
      <c r="V274" s="214"/>
    </row>
    <row r="275" spans="1:22">
      <c r="A275" s="133" t="s">
        <v>74</v>
      </c>
      <c r="B275" s="134" t="s">
        <v>397</v>
      </c>
      <c r="C275" s="135" t="s">
        <v>81</v>
      </c>
      <c r="D275" s="238">
        <v>2</v>
      </c>
      <c r="E275" s="48">
        <v>0.45</v>
      </c>
      <c r="F275" s="48">
        <v>8</v>
      </c>
      <c r="G275" s="49">
        <f t="shared" si="20"/>
        <v>3.6</v>
      </c>
      <c r="H275" s="48">
        <v>3.16</v>
      </c>
      <c r="I275" s="50">
        <v>0.1</v>
      </c>
      <c r="J275" s="51">
        <f>SUM(G275:I275)</f>
        <v>6.8599999999999994</v>
      </c>
      <c r="K275" s="52">
        <f>ROUND(D275*E275,2)</f>
        <v>0.9</v>
      </c>
      <c r="L275" s="50">
        <f t="shared" ref="L275:L338" si="25">ROUND(D275*G275,2)*1.3</f>
        <v>9.3600000000000012</v>
      </c>
      <c r="M275" s="50">
        <f t="shared" ref="M275:M338" si="26">ROUND(D275*H275,2)*1.3</f>
        <v>8.2160000000000011</v>
      </c>
      <c r="N275" s="50">
        <f>ROUND(D275*I275,2)</f>
        <v>0.2</v>
      </c>
      <c r="O275" s="28">
        <f>SUM(L275:N275)</f>
        <v>17.776</v>
      </c>
      <c r="P275" s="193"/>
      <c r="Q275" s="214"/>
      <c r="R275" s="214"/>
      <c r="S275" s="214"/>
      <c r="T275" s="214"/>
      <c r="U275" s="214"/>
      <c r="V275" s="214"/>
    </row>
    <row r="276" spans="1:22">
      <c r="A276" s="133" t="s">
        <v>77</v>
      </c>
      <c r="B276" s="134" t="s">
        <v>180</v>
      </c>
      <c r="C276" s="135" t="s">
        <v>81</v>
      </c>
      <c r="D276" s="238">
        <v>6</v>
      </c>
      <c r="E276" s="48">
        <v>0.45</v>
      </c>
      <c r="F276" s="48">
        <v>8</v>
      </c>
      <c r="G276" s="49">
        <f t="shared" si="20"/>
        <v>3.6</v>
      </c>
      <c r="H276" s="48">
        <v>1.65</v>
      </c>
      <c r="I276" s="50">
        <v>0.1</v>
      </c>
      <c r="J276" s="51">
        <f t="shared" si="21"/>
        <v>5.35</v>
      </c>
      <c r="K276" s="52">
        <f t="shared" si="22"/>
        <v>2.7</v>
      </c>
      <c r="L276" s="50">
        <f t="shared" si="25"/>
        <v>28.080000000000002</v>
      </c>
      <c r="M276" s="50">
        <f t="shared" si="26"/>
        <v>12.870000000000001</v>
      </c>
      <c r="N276" s="50">
        <f t="shared" si="23"/>
        <v>0.6</v>
      </c>
      <c r="O276" s="28">
        <f t="shared" si="24"/>
        <v>41.550000000000004</v>
      </c>
      <c r="P276" s="193"/>
      <c r="Q276" s="214"/>
      <c r="R276" s="214"/>
      <c r="S276" s="214"/>
      <c r="T276" s="214"/>
      <c r="U276" s="214"/>
      <c r="V276" s="214"/>
    </row>
    <row r="277" spans="1:22">
      <c r="A277" s="133" t="s">
        <v>79</v>
      </c>
      <c r="B277" s="134" t="s">
        <v>181</v>
      </c>
      <c r="C277" s="135" t="s">
        <v>81</v>
      </c>
      <c r="D277" s="239">
        <v>39</v>
      </c>
      <c r="E277" s="48">
        <v>0.45</v>
      </c>
      <c r="F277" s="48">
        <v>8</v>
      </c>
      <c r="G277" s="49">
        <f t="shared" si="20"/>
        <v>3.6</v>
      </c>
      <c r="H277" s="48">
        <v>1.35</v>
      </c>
      <c r="I277" s="50">
        <v>0.1</v>
      </c>
      <c r="J277" s="51">
        <f t="shared" si="21"/>
        <v>5.05</v>
      </c>
      <c r="K277" s="52">
        <f t="shared" si="22"/>
        <v>17.55</v>
      </c>
      <c r="L277" s="50">
        <f t="shared" si="25"/>
        <v>182.52</v>
      </c>
      <c r="M277" s="50">
        <f t="shared" si="26"/>
        <v>68.445000000000007</v>
      </c>
      <c r="N277" s="50">
        <f t="shared" si="23"/>
        <v>3.9</v>
      </c>
      <c r="O277" s="28">
        <f t="shared" si="24"/>
        <v>254.86500000000004</v>
      </c>
      <c r="P277" s="193"/>
      <c r="Q277" s="214"/>
      <c r="R277" s="214"/>
      <c r="S277" s="214"/>
      <c r="T277" s="214"/>
      <c r="U277" s="214"/>
      <c r="V277" s="214"/>
    </row>
    <row r="278" spans="1:22">
      <c r="A278" s="133" t="s">
        <v>82</v>
      </c>
      <c r="B278" s="134" t="s">
        <v>183</v>
      </c>
      <c r="C278" s="135" t="s">
        <v>81</v>
      </c>
      <c r="D278" s="239">
        <v>27</v>
      </c>
      <c r="E278" s="48">
        <v>0.45</v>
      </c>
      <c r="F278" s="48">
        <v>8</v>
      </c>
      <c r="G278" s="49">
        <f t="shared" si="20"/>
        <v>3.6</v>
      </c>
      <c r="H278" s="48">
        <v>3</v>
      </c>
      <c r="I278" s="50">
        <v>0.1</v>
      </c>
      <c r="J278" s="51">
        <f t="shared" si="21"/>
        <v>6.6999999999999993</v>
      </c>
      <c r="K278" s="52">
        <f t="shared" si="22"/>
        <v>12.15</v>
      </c>
      <c r="L278" s="50">
        <f t="shared" si="25"/>
        <v>126.36000000000001</v>
      </c>
      <c r="M278" s="50">
        <f t="shared" si="26"/>
        <v>105.3</v>
      </c>
      <c r="N278" s="50">
        <f t="shared" si="23"/>
        <v>2.7</v>
      </c>
      <c r="O278" s="28">
        <f t="shared" si="24"/>
        <v>234.36</v>
      </c>
      <c r="P278" s="193"/>
      <c r="Q278" s="214"/>
      <c r="R278" s="214"/>
      <c r="S278" s="214"/>
      <c r="T278" s="214"/>
      <c r="U278" s="214"/>
      <c r="V278" s="214"/>
    </row>
    <row r="279" spans="1:22">
      <c r="A279" s="133" t="s">
        <v>85</v>
      </c>
      <c r="B279" s="134" t="s">
        <v>184</v>
      </c>
      <c r="C279" s="135" t="s">
        <v>81</v>
      </c>
      <c r="D279" s="239">
        <v>90</v>
      </c>
      <c r="E279" s="48">
        <v>0.45</v>
      </c>
      <c r="F279" s="48">
        <v>8</v>
      </c>
      <c r="G279" s="49">
        <f t="shared" si="20"/>
        <v>3.6</v>
      </c>
      <c r="H279" s="48">
        <v>1.34</v>
      </c>
      <c r="I279" s="50">
        <v>0.1</v>
      </c>
      <c r="J279" s="51">
        <f t="shared" si="21"/>
        <v>5.04</v>
      </c>
      <c r="K279" s="52">
        <f t="shared" si="22"/>
        <v>40.5</v>
      </c>
      <c r="L279" s="50">
        <f t="shared" si="25"/>
        <v>421.2</v>
      </c>
      <c r="M279" s="50">
        <f t="shared" si="26"/>
        <v>156.78</v>
      </c>
      <c r="N279" s="50">
        <f t="shared" si="23"/>
        <v>9</v>
      </c>
      <c r="O279" s="28">
        <f t="shared" si="24"/>
        <v>586.98</v>
      </c>
      <c r="P279" s="193"/>
      <c r="Q279" s="214"/>
      <c r="R279" s="214"/>
      <c r="S279" s="214"/>
      <c r="T279" s="214"/>
      <c r="U279" s="214"/>
      <c r="V279" s="214"/>
    </row>
    <row r="280" spans="1:22">
      <c r="A280" s="133" t="s">
        <v>87</v>
      </c>
      <c r="B280" s="139" t="s">
        <v>187</v>
      </c>
      <c r="C280" s="135" t="s">
        <v>81</v>
      </c>
      <c r="D280" s="240">
        <v>30</v>
      </c>
      <c r="E280" s="48">
        <v>0.45</v>
      </c>
      <c r="F280" s="48">
        <v>8</v>
      </c>
      <c r="G280" s="49">
        <f t="shared" si="20"/>
        <v>3.6</v>
      </c>
      <c r="H280" s="48">
        <v>0.83</v>
      </c>
      <c r="I280" s="50">
        <v>0.1</v>
      </c>
      <c r="J280" s="51">
        <f t="shared" si="21"/>
        <v>4.5299999999999994</v>
      </c>
      <c r="K280" s="52">
        <f t="shared" si="22"/>
        <v>13.5</v>
      </c>
      <c r="L280" s="50">
        <f t="shared" si="25"/>
        <v>140.4</v>
      </c>
      <c r="M280" s="50">
        <f t="shared" si="26"/>
        <v>32.369999999999997</v>
      </c>
      <c r="N280" s="50">
        <f t="shared" si="23"/>
        <v>3</v>
      </c>
      <c r="O280" s="28">
        <f t="shared" si="24"/>
        <v>175.77</v>
      </c>
      <c r="P280" s="193"/>
      <c r="Q280" s="214"/>
      <c r="R280" s="214"/>
      <c r="S280" s="214"/>
      <c r="T280" s="214"/>
      <c r="U280" s="214"/>
      <c r="V280" s="214"/>
    </row>
    <row r="281" spans="1:22">
      <c r="A281" s="133" t="s">
        <v>89</v>
      </c>
      <c r="B281" s="139" t="s">
        <v>188</v>
      </c>
      <c r="C281" s="141" t="s">
        <v>81</v>
      </c>
      <c r="D281" s="240">
        <v>200</v>
      </c>
      <c r="E281" s="48">
        <v>0.45</v>
      </c>
      <c r="F281" s="48">
        <v>8</v>
      </c>
      <c r="G281" s="49">
        <f t="shared" si="20"/>
        <v>3.6</v>
      </c>
      <c r="H281" s="48">
        <v>0.28000000000000003</v>
      </c>
      <c r="I281" s="50">
        <v>0.1</v>
      </c>
      <c r="J281" s="51">
        <f t="shared" si="21"/>
        <v>3.98</v>
      </c>
      <c r="K281" s="52">
        <f t="shared" si="22"/>
        <v>90</v>
      </c>
      <c r="L281" s="50">
        <f t="shared" si="25"/>
        <v>936</v>
      </c>
      <c r="M281" s="50">
        <f t="shared" si="26"/>
        <v>72.8</v>
      </c>
      <c r="N281" s="50">
        <f t="shared" si="23"/>
        <v>20</v>
      </c>
      <c r="O281" s="28">
        <f t="shared" si="24"/>
        <v>1028.8</v>
      </c>
      <c r="P281" s="193"/>
      <c r="Q281" s="214"/>
      <c r="R281" s="214"/>
      <c r="S281" s="214"/>
      <c r="T281" s="214"/>
      <c r="U281" s="214"/>
      <c r="V281" s="214"/>
    </row>
    <row r="282" spans="1:22">
      <c r="A282" s="133" t="s">
        <v>91</v>
      </c>
      <c r="B282" s="139" t="s">
        <v>189</v>
      </c>
      <c r="C282" s="141" t="s">
        <v>84</v>
      </c>
      <c r="D282" s="240">
        <v>30</v>
      </c>
      <c r="E282" s="48">
        <v>0.45</v>
      </c>
      <c r="F282" s="48">
        <v>8</v>
      </c>
      <c r="G282" s="49">
        <f t="shared" si="20"/>
        <v>3.6</v>
      </c>
      <c r="H282" s="48">
        <v>0.32</v>
      </c>
      <c r="I282" s="50">
        <v>0.1</v>
      </c>
      <c r="J282" s="51">
        <f t="shared" si="21"/>
        <v>4.0199999999999996</v>
      </c>
      <c r="K282" s="52">
        <f t="shared" si="22"/>
        <v>13.5</v>
      </c>
      <c r="L282" s="50">
        <f t="shared" si="25"/>
        <v>140.4</v>
      </c>
      <c r="M282" s="50">
        <f t="shared" si="26"/>
        <v>12.48</v>
      </c>
      <c r="N282" s="50">
        <f t="shared" si="23"/>
        <v>3</v>
      </c>
      <c r="O282" s="28">
        <f t="shared" si="24"/>
        <v>155.88</v>
      </c>
      <c r="P282" s="193"/>
      <c r="Q282" s="214"/>
      <c r="R282" s="214"/>
      <c r="S282" s="214"/>
      <c r="T282" s="214"/>
      <c r="U282" s="214"/>
      <c r="V282" s="214"/>
    </row>
    <row r="283" spans="1:22">
      <c r="A283" s="133" t="s">
        <v>93</v>
      </c>
      <c r="B283" s="139" t="s">
        <v>190</v>
      </c>
      <c r="C283" s="141" t="s">
        <v>84</v>
      </c>
      <c r="D283" s="238">
        <v>50</v>
      </c>
      <c r="E283" s="48">
        <v>0.45</v>
      </c>
      <c r="F283" s="48">
        <v>8</v>
      </c>
      <c r="G283" s="49">
        <f t="shared" si="20"/>
        <v>3.6</v>
      </c>
      <c r="H283" s="48">
        <v>0.54</v>
      </c>
      <c r="I283" s="50">
        <v>0.1</v>
      </c>
      <c r="J283" s="51">
        <f t="shared" si="21"/>
        <v>4.24</v>
      </c>
      <c r="K283" s="52">
        <f t="shared" si="22"/>
        <v>22.5</v>
      </c>
      <c r="L283" s="50">
        <f t="shared" si="25"/>
        <v>234</v>
      </c>
      <c r="M283" s="50">
        <f t="shared" si="26"/>
        <v>35.1</v>
      </c>
      <c r="N283" s="50">
        <f t="shared" si="23"/>
        <v>5</v>
      </c>
      <c r="O283" s="28">
        <f t="shared" si="24"/>
        <v>274.10000000000002</v>
      </c>
      <c r="P283" s="193"/>
      <c r="Q283" s="214"/>
      <c r="R283" s="214"/>
      <c r="S283" s="214"/>
      <c r="T283" s="214"/>
      <c r="U283" s="214"/>
      <c r="V283" s="214"/>
    </row>
    <row r="284" spans="1:22">
      <c r="A284" s="133" t="s">
        <v>95</v>
      </c>
      <c r="B284" s="144" t="s">
        <v>193</v>
      </c>
      <c r="C284" s="141" t="s">
        <v>84</v>
      </c>
      <c r="D284" s="238">
        <v>800</v>
      </c>
      <c r="E284" s="48">
        <v>0.45</v>
      </c>
      <c r="F284" s="48">
        <v>8</v>
      </c>
      <c r="G284" s="49">
        <f t="shared" si="20"/>
        <v>3.6</v>
      </c>
      <c r="H284" s="48">
        <v>0.34</v>
      </c>
      <c r="I284" s="50">
        <v>0.1</v>
      </c>
      <c r="J284" s="51">
        <f t="shared" si="21"/>
        <v>4.04</v>
      </c>
      <c r="K284" s="52">
        <f t="shared" si="22"/>
        <v>360</v>
      </c>
      <c r="L284" s="50">
        <f t="shared" si="25"/>
        <v>3744</v>
      </c>
      <c r="M284" s="50">
        <f t="shared" si="26"/>
        <v>353.6</v>
      </c>
      <c r="N284" s="50">
        <f t="shared" si="23"/>
        <v>80</v>
      </c>
      <c r="O284" s="28">
        <f t="shared" si="24"/>
        <v>4177.6000000000004</v>
      </c>
      <c r="P284" s="193"/>
      <c r="Q284" s="214"/>
      <c r="R284" s="214"/>
      <c r="S284" s="214"/>
      <c r="T284" s="214"/>
      <c r="U284" s="214"/>
      <c r="V284" s="214"/>
    </row>
    <row r="285" spans="1:22">
      <c r="A285" s="133" t="s">
        <v>97</v>
      </c>
      <c r="B285" s="134" t="s">
        <v>195</v>
      </c>
      <c r="C285" s="141" t="s">
        <v>84</v>
      </c>
      <c r="D285" s="240">
        <v>1300</v>
      </c>
      <c r="E285" s="48">
        <v>0.45</v>
      </c>
      <c r="F285" s="48">
        <v>8</v>
      </c>
      <c r="G285" s="49">
        <f t="shared" si="20"/>
        <v>3.6</v>
      </c>
      <c r="H285" s="48">
        <v>0.52</v>
      </c>
      <c r="I285" s="50">
        <v>0.1</v>
      </c>
      <c r="J285" s="51">
        <f t="shared" si="21"/>
        <v>4.22</v>
      </c>
      <c r="K285" s="52">
        <f t="shared" si="22"/>
        <v>585</v>
      </c>
      <c r="L285" s="50">
        <f t="shared" si="25"/>
        <v>6084</v>
      </c>
      <c r="M285" s="50">
        <f t="shared" si="26"/>
        <v>878.80000000000007</v>
      </c>
      <c r="N285" s="50">
        <f t="shared" si="23"/>
        <v>130</v>
      </c>
      <c r="O285" s="28">
        <f t="shared" si="24"/>
        <v>7092.8</v>
      </c>
      <c r="P285" s="193"/>
      <c r="Q285" s="214"/>
      <c r="R285" s="214"/>
      <c r="S285" s="214"/>
      <c r="T285" s="214"/>
      <c r="U285" s="214"/>
      <c r="V285" s="214"/>
    </row>
    <row r="286" spans="1:22">
      <c r="A286" s="133" t="s">
        <v>99</v>
      </c>
      <c r="B286" s="134" t="s">
        <v>197</v>
      </c>
      <c r="C286" s="141" t="s">
        <v>84</v>
      </c>
      <c r="D286" s="238">
        <v>400</v>
      </c>
      <c r="E286" s="48">
        <v>0.45</v>
      </c>
      <c r="F286" s="48">
        <v>8</v>
      </c>
      <c r="G286" s="49">
        <f t="shared" si="20"/>
        <v>3.6</v>
      </c>
      <c r="H286" s="48">
        <v>0.9</v>
      </c>
      <c r="I286" s="50">
        <v>0.1</v>
      </c>
      <c r="J286" s="51">
        <f t="shared" si="21"/>
        <v>4.5999999999999996</v>
      </c>
      <c r="K286" s="52">
        <f t="shared" si="22"/>
        <v>180</v>
      </c>
      <c r="L286" s="50">
        <f t="shared" si="25"/>
        <v>1872</v>
      </c>
      <c r="M286" s="50">
        <f t="shared" si="26"/>
        <v>468</v>
      </c>
      <c r="N286" s="50">
        <f t="shared" si="23"/>
        <v>40</v>
      </c>
      <c r="O286" s="28">
        <f t="shared" si="24"/>
        <v>2380</v>
      </c>
      <c r="P286" s="193"/>
      <c r="Q286" s="214"/>
      <c r="R286" s="214"/>
      <c r="S286" s="214"/>
      <c r="T286" s="214"/>
      <c r="U286" s="214"/>
      <c r="V286" s="214"/>
    </row>
    <row r="287" spans="1:22">
      <c r="A287" s="133" t="s">
        <v>192</v>
      </c>
      <c r="B287" s="134" t="s">
        <v>199</v>
      </c>
      <c r="C287" s="141" t="s">
        <v>84</v>
      </c>
      <c r="D287" s="238">
        <v>100</v>
      </c>
      <c r="E287" s="48">
        <v>0.45</v>
      </c>
      <c r="F287" s="48">
        <v>8</v>
      </c>
      <c r="G287" s="49">
        <f t="shared" si="20"/>
        <v>3.6</v>
      </c>
      <c r="H287" s="48">
        <v>2.16</v>
      </c>
      <c r="I287" s="50">
        <v>0.1</v>
      </c>
      <c r="J287" s="51">
        <f t="shared" si="21"/>
        <v>5.8599999999999994</v>
      </c>
      <c r="K287" s="52">
        <f t="shared" si="22"/>
        <v>45</v>
      </c>
      <c r="L287" s="50">
        <f t="shared" si="25"/>
        <v>468</v>
      </c>
      <c r="M287" s="50">
        <f t="shared" si="26"/>
        <v>280.8</v>
      </c>
      <c r="N287" s="50">
        <f t="shared" si="23"/>
        <v>10</v>
      </c>
      <c r="O287" s="28">
        <f t="shared" si="24"/>
        <v>758.8</v>
      </c>
      <c r="P287" s="193"/>
      <c r="Q287" s="214"/>
      <c r="R287" s="214"/>
      <c r="S287" s="214"/>
      <c r="T287" s="214"/>
      <c r="U287" s="214"/>
      <c r="V287" s="214"/>
    </row>
    <row r="288" spans="1:22">
      <c r="A288" s="133" t="s">
        <v>194</v>
      </c>
      <c r="B288" s="134" t="s">
        <v>201</v>
      </c>
      <c r="C288" s="141" t="s">
        <v>84</v>
      </c>
      <c r="D288" s="238">
        <v>150</v>
      </c>
      <c r="E288" s="48">
        <v>0.45</v>
      </c>
      <c r="F288" s="48">
        <v>8</v>
      </c>
      <c r="G288" s="49">
        <f t="shared" si="20"/>
        <v>3.6</v>
      </c>
      <c r="H288" s="48">
        <v>3.61</v>
      </c>
      <c r="I288" s="50">
        <v>0.1</v>
      </c>
      <c r="J288" s="51">
        <f t="shared" si="21"/>
        <v>7.31</v>
      </c>
      <c r="K288" s="52">
        <f t="shared" si="22"/>
        <v>67.5</v>
      </c>
      <c r="L288" s="50">
        <f t="shared" si="25"/>
        <v>702</v>
      </c>
      <c r="M288" s="50">
        <f t="shared" si="26"/>
        <v>703.95</v>
      </c>
      <c r="N288" s="50">
        <f t="shared" si="23"/>
        <v>15</v>
      </c>
      <c r="O288" s="28">
        <f t="shared" si="24"/>
        <v>1420.95</v>
      </c>
      <c r="P288" s="193"/>
      <c r="Q288" s="214"/>
      <c r="R288" s="214"/>
      <c r="S288" s="214"/>
      <c r="T288" s="214"/>
      <c r="U288" s="214"/>
      <c r="V288" s="214"/>
    </row>
    <row r="289" spans="1:22">
      <c r="A289" s="133" t="s">
        <v>196</v>
      </c>
      <c r="B289" s="139" t="s">
        <v>205</v>
      </c>
      <c r="C289" s="141" t="s">
        <v>84</v>
      </c>
      <c r="D289" s="238">
        <v>100</v>
      </c>
      <c r="E289" s="48">
        <v>0.45</v>
      </c>
      <c r="F289" s="48">
        <v>8</v>
      </c>
      <c r="G289" s="49">
        <f t="shared" si="20"/>
        <v>3.6</v>
      </c>
      <c r="H289" s="48">
        <v>0.88</v>
      </c>
      <c r="I289" s="50">
        <v>0.1</v>
      </c>
      <c r="J289" s="51">
        <f t="shared" si="21"/>
        <v>4.58</v>
      </c>
      <c r="K289" s="52">
        <f t="shared" si="22"/>
        <v>45</v>
      </c>
      <c r="L289" s="50">
        <f t="shared" si="25"/>
        <v>468</v>
      </c>
      <c r="M289" s="50">
        <f t="shared" si="26"/>
        <v>114.4</v>
      </c>
      <c r="N289" s="50">
        <f t="shared" si="23"/>
        <v>10</v>
      </c>
      <c r="O289" s="28">
        <f t="shared" si="24"/>
        <v>592.4</v>
      </c>
      <c r="P289" s="193"/>
      <c r="Q289" s="214"/>
      <c r="R289" s="214"/>
      <c r="S289" s="214"/>
      <c r="T289" s="214"/>
      <c r="U289" s="214"/>
      <c r="V289" s="214"/>
    </row>
    <row r="290" spans="1:22">
      <c r="A290" s="133" t="s">
        <v>198</v>
      </c>
      <c r="B290" s="139" t="s">
        <v>398</v>
      </c>
      <c r="C290" s="141" t="s">
        <v>81</v>
      </c>
      <c r="D290" s="238">
        <v>3</v>
      </c>
      <c r="E290" s="48">
        <v>0.45</v>
      </c>
      <c r="F290" s="48">
        <v>8</v>
      </c>
      <c r="G290" s="49">
        <f t="shared" si="20"/>
        <v>3.6</v>
      </c>
      <c r="H290" s="48">
        <v>30.66</v>
      </c>
      <c r="I290" s="50">
        <v>0.1</v>
      </c>
      <c r="J290" s="51">
        <f t="shared" si="21"/>
        <v>34.36</v>
      </c>
      <c r="K290" s="52">
        <f t="shared" si="22"/>
        <v>1.35</v>
      </c>
      <c r="L290" s="50">
        <f t="shared" si="25"/>
        <v>14.040000000000001</v>
      </c>
      <c r="M290" s="50">
        <f t="shared" si="26"/>
        <v>119.57400000000001</v>
      </c>
      <c r="N290" s="50">
        <f t="shared" si="23"/>
        <v>0.3</v>
      </c>
      <c r="O290" s="28">
        <f t="shared" si="24"/>
        <v>133.91400000000002</v>
      </c>
      <c r="P290" s="193"/>
      <c r="Q290" s="214"/>
      <c r="R290" s="214"/>
      <c r="S290" s="214"/>
      <c r="T290" s="214"/>
      <c r="U290" s="214"/>
      <c r="V290" s="214"/>
    </row>
    <row r="291" spans="1:22">
      <c r="A291" s="133" t="s">
        <v>200</v>
      </c>
      <c r="B291" s="139" t="s">
        <v>399</v>
      </c>
      <c r="C291" s="141" t="s">
        <v>81</v>
      </c>
      <c r="D291" s="238">
        <v>59</v>
      </c>
      <c r="E291" s="48">
        <v>0.45</v>
      </c>
      <c r="F291" s="48">
        <v>8</v>
      </c>
      <c r="G291" s="49">
        <f t="shared" si="20"/>
        <v>3.6</v>
      </c>
      <c r="H291" s="48">
        <v>20.7</v>
      </c>
      <c r="I291" s="50">
        <v>0.1</v>
      </c>
      <c r="J291" s="51">
        <f t="shared" si="21"/>
        <v>24.400000000000002</v>
      </c>
      <c r="K291" s="52">
        <f t="shared" si="22"/>
        <v>26.55</v>
      </c>
      <c r="L291" s="50">
        <f t="shared" si="25"/>
        <v>276.12</v>
      </c>
      <c r="M291" s="50">
        <f t="shared" si="26"/>
        <v>1587.69</v>
      </c>
      <c r="N291" s="50">
        <f t="shared" si="23"/>
        <v>5.9</v>
      </c>
      <c r="O291" s="28">
        <f t="shared" si="24"/>
        <v>1869.71</v>
      </c>
      <c r="P291" s="193"/>
      <c r="Q291" s="214"/>
      <c r="R291" s="214"/>
      <c r="S291" s="214"/>
      <c r="T291" s="214"/>
      <c r="U291" s="214"/>
      <c r="V291" s="214"/>
    </row>
    <row r="292" spans="1:22">
      <c r="A292" s="133" t="s">
        <v>202</v>
      </c>
      <c r="B292" s="139" t="s">
        <v>209</v>
      </c>
      <c r="C292" s="141" t="s">
        <v>81</v>
      </c>
      <c r="D292" s="238">
        <v>39</v>
      </c>
      <c r="E292" s="48">
        <v>0.45</v>
      </c>
      <c r="F292" s="48">
        <v>8</v>
      </c>
      <c r="G292" s="49">
        <f t="shared" si="20"/>
        <v>3.6</v>
      </c>
      <c r="H292" s="48">
        <v>49.23</v>
      </c>
      <c r="I292" s="50">
        <v>0.1</v>
      </c>
      <c r="J292" s="51">
        <f t="shared" si="21"/>
        <v>52.93</v>
      </c>
      <c r="K292" s="52">
        <f t="shared" si="22"/>
        <v>17.55</v>
      </c>
      <c r="L292" s="50">
        <f t="shared" si="25"/>
        <v>182.52</v>
      </c>
      <c r="M292" s="50">
        <f t="shared" si="26"/>
        <v>2495.9610000000002</v>
      </c>
      <c r="N292" s="50">
        <f t="shared" si="23"/>
        <v>3.9</v>
      </c>
      <c r="O292" s="28">
        <f t="shared" si="24"/>
        <v>2682.3810000000003</v>
      </c>
      <c r="P292" s="193"/>
      <c r="Q292" s="214"/>
      <c r="R292" s="214"/>
      <c r="S292" s="214"/>
      <c r="T292" s="214"/>
      <c r="U292" s="214"/>
      <c r="V292" s="214"/>
    </row>
    <row r="293" spans="1:22" ht="31.5">
      <c r="A293" s="133" t="s">
        <v>204</v>
      </c>
      <c r="B293" s="139" t="s">
        <v>213</v>
      </c>
      <c r="C293" s="141" t="s">
        <v>81</v>
      </c>
      <c r="D293" s="238">
        <v>57</v>
      </c>
      <c r="E293" s="48">
        <v>0.45</v>
      </c>
      <c r="F293" s="48">
        <v>8</v>
      </c>
      <c r="G293" s="49">
        <f t="shared" si="20"/>
        <v>3.6</v>
      </c>
      <c r="H293" s="48">
        <v>33.08</v>
      </c>
      <c r="I293" s="50">
        <v>0.1</v>
      </c>
      <c r="J293" s="51">
        <f t="shared" si="21"/>
        <v>36.78</v>
      </c>
      <c r="K293" s="52">
        <f t="shared" si="22"/>
        <v>25.65</v>
      </c>
      <c r="L293" s="50">
        <f t="shared" si="25"/>
        <v>266.76</v>
      </c>
      <c r="M293" s="50">
        <f t="shared" si="26"/>
        <v>2451.2280000000001</v>
      </c>
      <c r="N293" s="50">
        <f t="shared" si="23"/>
        <v>5.7</v>
      </c>
      <c r="O293" s="28">
        <f t="shared" si="24"/>
        <v>2723.6880000000001</v>
      </c>
      <c r="P293" s="193"/>
      <c r="Q293" s="214"/>
      <c r="R293" s="214"/>
      <c r="S293" s="214"/>
      <c r="T293" s="214"/>
      <c r="U293" s="214"/>
      <c r="V293" s="214"/>
    </row>
    <row r="294" spans="1:22" ht="31.5">
      <c r="A294" s="133" t="s">
        <v>206</v>
      </c>
      <c r="B294" s="134" t="s">
        <v>377</v>
      </c>
      <c r="C294" s="141" t="s">
        <v>81</v>
      </c>
      <c r="D294" s="238">
        <v>8</v>
      </c>
      <c r="E294" s="48">
        <v>0.45</v>
      </c>
      <c r="F294" s="48">
        <v>8</v>
      </c>
      <c r="G294" s="49">
        <f t="shared" si="20"/>
        <v>3.6</v>
      </c>
      <c r="H294" s="48">
        <v>20.65</v>
      </c>
      <c r="I294" s="50">
        <v>0.1</v>
      </c>
      <c r="J294" s="51">
        <f t="shared" si="21"/>
        <v>24.35</v>
      </c>
      <c r="K294" s="52">
        <f t="shared" si="22"/>
        <v>3.6</v>
      </c>
      <c r="L294" s="50">
        <f t="shared" si="25"/>
        <v>37.440000000000005</v>
      </c>
      <c r="M294" s="50">
        <f t="shared" si="26"/>
        <v>214.76</v>
      </c>
      <c r="N294" s="50">
        <f t="shared" si="23"/>
        <v>0.8</v>
      </c>
      <c r="O294" s="28">
        <f t="shared" si="24"/>
        <v>253</v>
      </c>
      <c r="P294" s="193"/>
      <c r="Q294" s="214"/>
      <c r="R294" s="214"/>
      <c r="S294" s="214"/>
      <c r="T294" s="214"/>
      <c r="U294" s="214"/>
      <c r="V294" s="214"/>
    </row>
    <row r="295" spans="1:22">
      <c r="A295" s="133" t="s">
        <v>208</v>
      </c>
      <c r="B295" s="137" t="s">
        <v>400</v>
      </c>
      <c r="C295" s="141" t="s">
        <v>81</v>
      </c>
      <c r="D295" s="238">
        <v>20</v>
      </c>
      <c r="E295" s="48">
        <v>0.45</v>
      </c>
      <c r="F295" s="48">
        <v>8</v>
      </c>
      <c r="G295" s="49">
        <f t="shared" si="20"/>
        <v>3.6</v>
      </c>
      <c r="H295" s="48">
        <v>24.42</v>
      </c>
      <c r="I295" s="50">
        <v>0.1</v>
      </c>
      <c r="J295" s="51">
        <f t="shared" si="21"/>
        <v>28.120000000000005</v>
      </c>
      <c r="K295" s="52">
        <f t="shared" si="22"/>
        <v>9</v>
      </c>
      <c r="L295" s="50">
        <f t="shared" si="25"/>
        <v>93.600000000000009</v>
      </c>
      <c r="M295" s="50">
        <f t="shared" si="26"/>
        <v>634.91999999999996</v>
      </c>
      <c r="N295" s="50">
        <f t="shared" si="23"/>
        <v>2</v>
      </c>
      <c r="O295" s="28">
        <f t="shared" si="24"/>
        <v>730.52</v>
      </c>
      <c r="P295" s="193"/>
      <c r="Q295" s="214"/>
      <c r="R295" s="214"/>
      <c r="S295" s="214"/>
      <c r="T295" s="214"/>
      <c r="U295" s="214"/>
      <c r="V295" s="214"/>
    </row>
    <row r="296" spans="1:22">
      <c r="A296" s="133" t="s">
        <v>210</v>
      </c>
      <c r="B296" s="139" t="s">
        <v>381</v>
      </c>
      <c r="C296" s="141" t="s">
        <v>81</v>
      </c>
      <c r="D296" s="238">
        <v>2</v>
      </c>
      <c r="E296" s="48">
        <v>0.45</v>
      </c>
      <c r="F296" s="48">
        <v>8</v>
      </c>
      <c r="G296" s="49">
        <f t="shared" si="20"/>
        <v>3.6</v>
      </c>
      <c r="H296" s="48">
        <v>27.03</v>
      </c>
      <c r="I296" s="50">
        <v>0.1</v>
      </c>
      <c r="J296" s="51">
        <f t="shared" si="21"/>
        <v>30.730000000000004</v>
      </c>
      <c r="K296" s="52">
        <f t="shared" si="22"/>
        <v>0.9</v>
      </c>
      <c r="L296" s="50">
        <f t="shared" si="25"/>
        <v>9.3600000000000012</v>
      </c>
      <c r="M296" s="50">
        <f t="shared" si="26"/>
        <v>70.278000000000006</v>
      </c>
      <c r="N296" s="50">
        <f t="shared" si="23"/>
        <v>0.2</v>
      </c>
      <c r="O296" s="28">
        <f t="shared" si="24"/>
        <v>79.838000000000008</v>
      </c>
      <c r="P296" s="193"/>
      <c r="Q296" s="214"/>
      <c r="R296" s="214"/>
      <c r="S296" s="214"/>
      <c r="T296" s="214"/>
      <c r="U296" s="214"/>
      <c r="V296" s="214"/>
    </row>
    <row r="297" spans="1:22">
      <c r="A297" s="133" t="s">
        <v>212</v>
      </c>
      <c r="B297" s="139" t="s">
        <v>223</v>
      </c>
      <c r="C297" s="141" t="s">
        <v>81</v>
      </c>
      <c r="D297" s="238">
        <v>7</v>
      </c>
      <c r="E297" s="48">
        <v>0.45</v>
      </c>
      <c r="F297" s="48">
        <v>8</v>
      </c>
      <c r="G297" s="49">
        <f t="shared" si="20"/>
        <v>3.6</v>
      </c>
      <c r="H297" s="48">
        <v>20.7</v>
      </c>
      <c r="I297" s="50">
        <v>0.1</v>
      </c>
      <c r="J297" s="51">
        <f t="shared" si="21"/>
        <v>24.400000000000002</v>
      </c>
      <c r="K297" s="52">
        <f t="shared" si="22"/>
        <v>3.15</v>
      </c>
      <c r="L297" s="50">
        <f t="shared" si="25"/>
        <v>32.76</v>
      </c>
      <c r="M297" s="50">
        <f t="shared" si="26"/>
        <v>188.37</v>
      </c>
      <c r="N297" s="50">
        <f t="shared" si="23"/>
        <v>0.7</v>
      </c>
      <c r="O297" s="28">
        <f t="shared" si="24"/>
        <v>221.82999999999998</v>
      </c>
      <c r="P297" s="193"/>
      <c r="Q297" s="214"/>
      <c r="R297" s="214"/>
      <c r="S297" s="214"/>
      <c r="T297" s="214"/>
      <c r="U297" s="214"/>
      <c r="V297" s="214"/>
    </row>
    <row r="298" spans="1:22" ht="31.5">
      <c r="A298" s="133" t="s">
        <v>214</v>
      </c>
      <c r="B298" s="139" t="s">
        <v>401</v>
      </c>
      <c r="C298" s="141" t="s">
        <v>81</v>
      </c>
      <c r="D298" s="238">
        <v>8</v>
      </c>
      <c r="E298" s="48">
        <v>0.45</v>
      </c>
      <c r="F298" s="48">
        <v>8</v>
      </c>
      <c r="G298" s="49">
        <f t="shared" si="20"/>
        <v>3.6</v>
      </c>
      <c r="H298" s="48">
        <v>31.8</v>
      </c>
      <c r="I298" s="50">
        <v>0.1</v>
      </c>
      <c r="J298" s="51">
        <f t="shared" si="21"/>
        <v>35.5</v>
      </c>
      <c r="K298" s="52">
        <f t="shared" si="22"/>
        <v>3.6</v>
      </c>
      <c r="L298" s="50">
        <f t="shared" si="25"/>
        <v>37.440000000000005</v>
      </c>
      <c r="M298" s="50">
        <f t="shared" si="26"/>
        <v>330.72</v>
      </c>
      <c r="N298" s="50">
        <f t="shared" si="23"/>
        <v>0.8</v>
      </c>
      <c r="O298" s="28">
        <f t="shared" si="24"/>
        <v>368.96000000000004</v>
      </c>
      <c r="P298" s="193"/>
      <c r="Q298" s="214"/>
      <c r="R298" s="214"/>
      <c r="S298" s="214"/>
      <c r="T298" s="214"/>
      <c r="U298" s="214"/>
      <c r="V298" s="214"/>
    </row>
    <row r="299" spans="1:22">
      <c r="A299" s="133" t="s">
        <v>216</v>
      </c>
      <c r="B299" s="139" t="s">
        <v>402</v>
      </c>
      <c r="C299" s="141" t="s">
        <v>81</v>
      </c>
      <c r="D299" s="238">
        <v>45</v>
      </c>
      <c r="E299" s="48">
        <v>0.45</v>
      </c>
      <c r="F299" s="48">
        <v>8</v>
      </c>
      <c r="G299" s="49">
        <f t="shared" si="20"/>
        <v>3.6</v>
      </c>
      <c r="H299" s="48">
        <v>98.08</v>
      </c>
      <c r="I299" s="50">
        <v>0.1</v>
      </c>
      <c r="J299" s="51">
        <f t="shared" si="21"/>
        <v>101.77999999999999</v>
      </c>
      <c r="K299" s="52">
        <f t="shared" si="22"/>
        <v>20.25</v>
      </c>
      <c r="L299" s="50">
        <f t="shared" si="25"/>
        <v>210.6</v>
      </c>
      <c r="M299" s="50">
        <f t="shared" si="26"/>
        <v>5737.68</v>
      </c>
      <c r="N299" s="50">
        <f t="shared" si="23"/>
        <v>4.5</v>
      </c>
      <c r="O299" s="28">
        <f t="shared" si="24"/>
        <v>5952.7800000000007</v>
      </c>
      <c r="P299" s="193"/>
      <c r="Q299" s="214"/>
      <c r="R299" s="214"/>
      <c r="S299" s="214"/>
      <c r="T299" s="214"/>
      <c r="U299" s="214"/>
      <c r="V299" s="214"/>
    </row>
    <row r="300" spans="1:22">
      <c r="A300" s="133" t="s">
        <v>218</v>
      </c>
      <c r="B300" s="139" t="s">
        <v>403</v>
      </c>
      <c r="C300" s="141" t="s">
        <v>81</v>
      </c>
      <c r="D300" s="238">
        <v>3</v>
      </c>
      <c r="E300" s="48">
        <v>0.45</v>
      </c>
      <c r="F300" s="48">
        <v>8</v>
      </c>
      <c r="G300" s="49">
        <f t="shared" si="20"/>
        <v>3.6</v>
      </c>
      <c r="H300" s="48">
        <v>8.33</v>
      </c>
      <c r="I300" s="50">
        <v>0.1</v>
      </c>
      <c r="J300" s="51">
        <f t="shared" si="21"/>
        <v>12.03</v>
      </c>
      <c r="K300" s="52">
        <f t="shared" si="22"/>
        <v>1.35</v>
      </c>
      <c r="L300" s="50">
        <f t="shared" si="25"/>
        <v>14.040000000000001</v>
      </c>
      <c r="M300" s="50">
        <f t="shared" si="26"/>
        <v>32.487000000000002</v>
      </c>
      <c r="N300" s="50">
        <f t="shared" si="23"/>
        <v>0.3</v>
      </c>
      <c r="O300" s="28">
        <f t="shared" si="24"/>
        <v>46.826999999999998</v>
      </c>
      <c r="P300" s="193"/>
      <c r="Q300" s="214"/>
      <c r="R300" s="214"/>
      <c r="S300" s="214"/>
      <c r="T300" s="214"/>
      <c r="U300" s="214"/>
      <c r="V300" s="214"/>
    </row>
    <row r="301" spans="1:22">
      <c r="A301" s="133" t="s">
        <v>220</v>
      </c>
      <c r="B301" s="134" t="s">
        <v>233</v>
      </c>
      <c r="C301" s="141" t="s">
        <v>81</v>
      </c>
      <c r="D301" s="238">
        <v>2</v>
      </c>
      <c r="E301" s="48">
        <v>0.45</v>
      </c>
      <c r="F301" s="48">
        <v>8</v>
      </c>
      <c r="G301" s="49">
        <f t="shared" si="20"/>
        <v>3.6</v>
      </c>
      <c r="H301" s="48">
        <v>8.33</v>
      </c>
      <c r="I301" s="50">
        <v>0.1</v>
      </c>
      <c r="J301" s="51">
        <f t="shared" si="21"/>
        <v>12.03</v>
      </c>
      <c r="K301" s="52">
        <f t="shared" si="22"/>
        <v>0.9</v>
      </c>
      <c r="L301" s="50">
        <f t="shared" si="25"/>
        <v>9.3600000000000012</v>
      </c>
      <c r="M301" s="50">
        <f t="shared" si="26"/>
        <v>21.658000000000001</v>
      </c>
      <c r="N301" s="50">
        <f t="shared" si="23"/>
        <v>0.2</v>
      </c>
      <c r="O301" s="28">
        <f t="shared" si="24"/>
        <v>31.218</v>
      </c>
      <c r="P301" s="193"/>
      <c r="Q301" s="214"/>
      <c r="R301" s="214"/>
      <c r="S301" s="214"/>
      <c r="T301" s="214"/>
      <c r="U301" s="214"/>
      <c r="V301" s="214"/>
    </row>
    <row r="302" spans="1:22">
      <c r="A302" s="133" t="s">
        <v>222</v>
      </c>
      <c r="B302" s="137" t="s">
        <v>404</v>
      </c>
      <c r="C302" s="141" t="s">
        <v>105</v>
      </c>
      <c r="D302" s="238">
        <v>9</v>
      </c>
      <c r="E302" s="48">
        <v>0.45</v>
      </c>
      <c r="F302" s="48">
        <v>8</v>
      </c>
      <c r="G302" s="49">
        <f t="shared" si="20"/>
        <v>3.6</v>
      </c>
      <c r="H302" s="48">
        <v>26.25</v>
      </c>
      <c r="I302" s="50">
        <v>0.1</v>
      </c>
      <c r="J302" s="51">
        <f t="shared" si="21"/>
        <v>29.950000000000003</v>
      </c>
      <c r="K302" s="52">
        <f t="shared" si="22"/>
        <v>4.05</v>
      </c>
      <c r="L302" s="50">
        <f t="shared" si="25"/>
        <v>42.12</v>
      </c>
      <c r="M302" s="50">
        <f t="shared" si="26"/>
        <v>307.125</v>
      </c>
      <c r="N302" s="50">
        <f t="shared" si="23"/>
        <v>0.9</v>
      </c>
      <c r="O302" s="28">
        <f t="shared" si="24"/>
        <v>350.14499999999998</v>
      </c>
      <c r="P302" s="193"/>
      <c r="Q302" s="214"/>
      <c r="R302" s="214"/>
      <c r="S302" s="214"/>
      <c r="T302" s="214"/>
      <c r="U302" s="214"/>
      <c r="V302" s="214"/>
    </row>
    <row r="303" spans="1:22">
      <c r="A303" s="133" t="s">
        <v>224</v>
      </c>
      <c r="B303" s="137" t="s">
        <v>405</v>
      </c>
      <c r="C303" s="141" t="s">
        <v>105</v>
      </c>
      <c r="D303" s="238">
        <v>1</v>
      </c>
      <c r="E303" s="48">
        <v>0.45</v>
      </c>
      <c r="F303" s="48">
        <v>8</v>
      </c>
      <c r="G303" s="49">
        <f t="shared" si="20"/>
        <v>3.6</v>
      </c>
      <c r="H303" s="48">
        <v>531.25</v>
      </c>
      <c r="I303" s="50">
        <v>0.1</v>
      </c>
      <c r="J303" s="51">
        <f t="shared" si="21"/>
        <v>534.95000000000005</v>
      </c>
      <c r="K303" s="52">
        <f t="shared" si="22"/>
        <v>0.45</v>
      </c>
      <c r="L303" s="50">
        <f t="shared" si="25"/>
        <v>4.6800000000000006</v>
      </c>
      <c r="M303" s="50">
        <f t="shared" si="26"/>
        <v>690.625</v>
      </c>
      <c r="N303" s="50">
        <f t="shared" si="23"/>
        <v>0.1</v>
      </c>
      <c r="O303" s="28">
        <f t="shared" si="24"/>
        <v>695.40499999999997</v>
      </c>
      <c r="P303" s="193"/>
      <c r="Q303" s="214"/>
      <c r="R303" s="214"/>
      <c r="S303" s="214"/>
      <c r="T303" s="214"/>
      <c r="U303" s="214"/>
      <c r="V303" s="214"/>
    </row>
    <row r="304" spans="1:22">
      <c r="A304" s="133" t="s">
        <v>226</v>
      </c>
      <c r="B304" s="137" t="s">
        <v>406</v>
      </c>
      <c r="C304" s="141" t="s">
        <v>105</v>
      </c>
      <c r="D304" s="238">
        <v>1</v>
      </c>
      <c r="E304" s="48">
        <v>0.45</v>
      </c>
      <c r="F304" s="48">
        <v>8</v>
      </c>
      <c r="G304" s="49">
        <f t="shared" si="20"/>
        <v>3.6</v>
      </c>
      <c r="H304" s="48">
        <v>181.25</v>
      </c>
      <c r="I304" s="50">
        <v>0.1</v>
      </c>
      <c r="J304" s="51">
        <f t="shared" si="21"/>
        <v>184.95</v>
      </c>
      <c r="K304" s="52">
        <f t="shared" si="22"/>
        <v>0.45</v>
      </c>
      <c r="L304" s="50">
        <f t="shared" si="25"/>
        <v>4.6800000000000006</v>
      </c>
      <c r="M304" s="50">
        <f t="shared" si="26"/>
        <v>235.625</v>
      </c>
      <c r="N304" s="50">
        <f t="shared" si="23"/>
        <v>0.1</v>
      </c>
      <c r="O304" s="28">
        <f t="shared" si="24"/>
        <v>240.405</v>
      </c>
      <c r="P304" s="193"/>
      <c r="Q304" s="214"/>
      <c r="R304" s="214"/>
      <c r="S304" s="214"/>
      <c r="T304" s="214"/>
      <c r="U304" s="214"/>
      <c r="V304" s="214"/>
    </row>
    <row r="305" spans="1:22">
      <c r="A305" s="133" t="s">
        <v>228</v>
      </c>
      <c r="B305" s="137" t="s">
        <v>388</v>
      </c>
      <c r="C305" s="141" t="s">
        <v>105</v>
      </c>
      <c r="D305" s="238">
        <v>1</v>
      </c>
      <c r="E305" s="48">
        <v>0.45</v>
      </c>
      <c r="F305" s="48">
        <v>8</v>
      </c>
      <c r="G305" s="49">
        <f t="shared" si="20"/>
        <v>3.6</v>
      </c>
      <c r="H305" s="48">
        <v>168.75</v>
      </c>
      <c r="I305" s="50">
        <v>0.1</v>
      </c>
      <c r="J305" s="51">
        <f t="shared" si="21"/>
        <v>172.45</v>
      </c>
      <c r="K305" s="52">
        <f t="shared" si="22"/>
        <v>0.45</v>
      </c>
      <c r="L305" s="50">
        <f t="shared" si="25"/>
        <v>4.6800000000000006</v>
      </c>
      <c r="M305" s="50">
        <f t="shared" si="26"/>
        <v>219.375</v>
      </c>
      <c r="N305" s="50">
        <f t="shared" si="23"/>
        <v>0.1</v>
      </c>
      <c r="O305" s="28">
        <f t="shared" si="24"/>
        <v>224.155</v>
      </c>
      <c r="P305" s="193"/>
      <c r="Q305" s="214"/>
      <c r="R305" s="214"/>
      <c r="S305" s="214"/>
      <c r="T305" s="214"/>
      <c r="U305" s="214"/>
      <c r="V305" s="214"/>
    </row>
    <row r="306" spans="1:22">
      <c r="A306" s="133" t="s">
        <v>230</v>
      </c>
      <c r="B306" s="137" t="s">
        <v>407</v>
      </c>
      <c r="C306" s="141" t="s">
        <v>105</v>
      </c>
      <c r="D306" s="238">
        <v>1</v>
      </c>
      <c r="E306" s="48">
        <v>0.45</v>
      </c>
      <c r="F306" s="48">
        <v>8</v>
      </c>
      <c r="G306" s="49">
        <f t="shared" si="20"/>
        <v>3.6</v>
      </c>
      <c r="H306" s="48">
        <v>118.75</v>
      </c>
      <c r="I306" s="50">
        <v>0.1</v>
      </c>
      <c r="J306" s="51">
        <f t="shared" si="21"/>
        <v>122.44999999999999</v>
      </c>
      <c r="K306" s="52">
        <f t="shared" si="22"/>
        <v>0.45</v>
      </c>
      <c r="L306" s="50">
        <f t="shared" si="25"/>
        <v>4.6800000000000006</v>
      </c>
      <c r="M306" s="50">
        <f t="shared" si="26"/>
        <v>154.375</v>
      </c>
      <c r="N306" s="50">
        <f t="shared" si="23"/>
        <v>0.1</v>
      </c>
      <c r="O306" s="28">
        <f t="shared" si="24"/>
        <v>159.155</v>
      </c>
      <c r="P306" s="193"/>
      <c r="Q306" s="214"/>
      <c r="R306" s="214"/>
      <c r="S306" s="214"/>
      <c r="T306" s="214"/>
      <c r="U306" s="214"/>
      <c r="V306" s="214"/>
    </row>
    <row r="307" spans="1:22">
      <c r="A307" s="133" t="s">
        <v>232</v>
      </c>
      <c r="B307" s="137" t="s">
        <v>408</v>
      </c>
      <c r="C307" s="141" t="s">
        <v>105</v>
      </c>
      <c r="D307" s="238">
        <v>1</v>
      </c>
      <c r="E307" s="48">
        <v>0.45</v>
      </c>
      <c r="F307" s="48">
        <v>8</v>
      </c>
      <c r="G307" s="49">
        <f t="shared" si="20"/>
        <v>3.6</v>
      </c>
      <c r="H307" s="48">
        <v>93.75</v>
      </c>
      <c r="I307" s="50">
        <v>0.1</v>
      </c>
      <c r="J307" s="51">
        <f t="shared" si="21"/>
        <v>97.449999999999989</v>
      </c>
      <c r="K307" s="52">
        <f t="shared" si="22"/>
        <v>0.45</v>
      </c>
      <c r="L307" s="50">
        <f t="shared" si="25"/>
        <v>4.6800000000000006</v>
      </c>
      <c r="M307" s="50">
        <f t="shared" si="26"/>
        <v>121.875</v>
      </c>
      <c r="N307" s="50">
        <f t="shared" si="23"/>
        <v>0.1</v>
      </c>
      <c r="O307" s="28">
        <f t="shared" si="24"/>
        <v>126.655</v>
      </c>
      <c r="P307" s="193"/>
      <c r="Q307" s="214"/>
      <c r="R307" s="214"/>
      <c r="S307" s="214"/>
      <c r="T307" s="214"/>
      <c r="U307" s="214"/>
      <c r="V307" s="214"/>
    </row>
    <row r="308" spans="1:22">
      <c r="A308" s="133" t="s">
        <v>234</v>
      </c>
      <c r="B308" s="137" t="s">
        <v>389</v>
      </c>
      <c r="C308" s="141" t="s">
        <v>105</v>
      </c>
      <c r="D308" s="238">
        <v>1</v>
      </c>
      <c r="E308" s="48">
        <v>0.45</v>
      </c>
      <c r="F308" s="48">
        <v>8</v>
      </c>
      <c r="G308" s="49">
        <f t="shared" si="20"/>
        <v>3.6</v>
      </c>
      <c r="H308" s="48">
        <v>343.75</v>
      </c>
      <c r="I308" s="50">
        <v>0.1</v>
      </c>
      <c r="J308" s="51">
        <f t="shared" si="21"/>
        <v>347.45000000000005</v>
      </c>
      <c r="K308" s="52">
        <f t="shared" si="22"/>
        <v>0.45</v>
      </c>
      <c r="L308" s="50">
        <f t="shared" si="25"/>
        <v>4.6800000000000006</v>
      </c>
      <c r="M308" s="50">
        <f t="shared" si="26"/>
        <v>446.875</v>
      </c>
      <c r="N308" s="50">
        <f t="shared" si="23"/>
        <v>0.1</v>
      </c>
      <c r="O308" s="28">
        <f t="shared" si="24"/>
        <v>451.65500000000003</v>
      </c>
      <c r="P308" s="193"/>
      <c r="Q308" s="214"/>
      <c r="R308" s="214"/>
      <c r="S308" s="214"/>
      <c r="T308" s="214"/>
      <c r="U308" s="214"/>
      <c r="V308" s="214"/>
    </row>
    <row r="309" spans="1:22">
      <c r="A309" s="71"/>
      <c r="B309" s="72" t="s">
        <v>276</v>
      </c>
      <c r="C309" s="69"/>
      <c r="D309" s="69"/>
      <c r="E309" s="42"/>
      <c r="F309" s="69"/>
      <c r="G309" s="69"/>
      <c r="H309" s="69"/>
      <c r="I309" s="44"/>
      <c r="J309" s="69"/>
      <c r="K309" s="69"/>
      <c r="L309" s="44"/>
      <c r="M309" s="44"/>
      <c r="N309" s="69"/>
      <c r="O309" s="157"/>
      <c r="P309" s="193"/>
      <c r="Q309" s="214"/>
      <c r="R309" s="214"/>
      <c r="S309" s="214"/>
      <c r="T309" s="214"/>
      <c r="U309" s="214"/>
      <c r="V309" s="214"/>
    </row>
    <row r="310" spans="1:22">
      <c r="A310" s="133" t="s">
        <v>39</v>
      </c>
      <c r="B310" s="139" t="s">
        <v>409</v>
      </c>
      <c r="C310" s="135" t="s">
        <v>84</v>
      </c>
      <c r="D310" s="238">
        <v>350</v>
      </c>
      <c r="E310" s="48">
        <v>0.45</v>
      </c>
      <c r="F310" s="48">
        <v>8</v>
      </c>
      <c r="G310" s="49">
        <f t="shared" si="20"/>
        <v>3.6</v>
      </c>
      <c r="H310" s="48">
        <v>0.53</v>
      </c>
      <c r="I310" s="50">
        <v>0.1</v>
      </c>
      <c r="J310" s="51">
        <f t="shared" si="21"/>
        <v>4.2299999999999995</v>
      </c>
      <c r="K310" s="52">
        <f t="shared" si="22"/>
        <v>157.5</v>
      </c>
      <c r="L310" s="50">
        <f t="shared" si="25"/>
        <v>1638</v>
      </c>
      <c r="M310" s="50">
        <f t="shared" si="26"/>
        <v>241.15</v>
      </c>
      <c r="N310" s="50">
        <f t="shared" si="23"/>
        <v>35</v>
      </c>
      <c r="O310" s="28">
        <f t="shared" si="24"/>
        <v>1914.15</v>
      </c>
      <c r="P310" s="193"/>
      <c r="Q310" s="214"/>
      <c r="R310" s="214"/>
      <c r="S310" s="214"/>
      <c r="T310" s="214"/>
      <c r="U310" s="214"/>
      <c r="V310" s="214"/>
    </row>
    <row r="311" spans="1:22">
      <c r="A311" s="133" t="s">
        <v>71</v>
      </c>
      <c r="B311" s="139" t="s">
        <v>410</v>
      </c>
      <c r="C311" s="135" t="s">
        <v>84</v>
      </c>
      <c r="D311" s="238">
        <v>120</v>
      </c>
      <c r="E311" s="48">
        <v>0.45</v>
      </c>
      <c r="F311" s="48">
        <v>8</v>
      </c>
      <c r="G311" s="49">
        <f t="shared" si="20"/>
        <v>3.6</v>
      </c>
      <c r="H311" s="48">
        <v>1.45</v>
      </c>
      <c r="I311" s="50">
        <v>0.1</v>
      </c>
      <c r="J311" s="51">
        <f t="shared" si="21"/>
        <v>5.1499999999999995</v>
      </c>
      <c r="K311" s="52">
        <f t="shared" si="22"/>
        <v>54</v>
      </c>
      <c r="L311" s="50">
        <f t="shared" si="25"/>
        <v>561.6</v>
      </c>
      <c r="M311" s="50">
        <f t="shared" si="26"/>
        <v>226.20000000000002</v>
      </c>
      <c r="N311" s="50">
        <f t="shared" si="23"/>
        <v>12</v>
      </c>
      <c r="O311" s="28">
        <f t="shared" si="24"/>
        <v>799.80000000000007</v>
      </c>
      <c r="P311" s="193"/>
      <c r="Q311" s="214"/>
      <c r="R311" s="214"/>
      <c r="S311" s="214"/>
      <c r="T311" s="214"/>
      <c r="U311" s="214"/>
      <c r="V311" s="214"/>
    </row>
    <row r="312" spans="1:22">
      <c r="A312" s="133" t="s">
        <v>74</v>
      </c>
      <c r="B312" s="139" t="s">
        <v>411</v>
      </c>
      <c r="C312" s="135" t="s">
        <v>81</v>
      </c>
      <c r="D312" s="238">
        <v>8</v>
      </c>
      <c r="E312" s="48">
        <v>0.45</v>
      </c>
      <c r="F312" s="48">
        <v>8</v>
      </c>
      <c r="G312" s="49">
        <f t="shared" si="20"/>
        <v>3.6</v>
      </c>
      <c r="H312" s="48">
        <v>6.24</v>
      </c>
      <c r="I312" s="50">
        <v>0.1</v>
      </c>
      <c r="J312" s="51">
        <f t="shared" si="21"/>
        <v>9.94</v>
      </c>
      <c r="K312" s="52">
        <f t="shared" si="22"/>
        <v>3.6</v>
      </c>
      <c r="L312" s="50">
        <f t="shared" si="25"/>
        <v>37.440000000000005</v>
      </c>
      <c r="M312" s="50">
        <f t="shared" si="26"/>
        <v>64.896000000000001</v>
      </c>
      <c r="N312" s="50">
        <f t="shared" si="23"/>
        <v>0.8</v>
      </c>
      <c r="O312" s="28">
        <f t="shared" si="24"/>
        <v>103.13600000000001</v>
      </c>
      <c r="P312" s="193"/>
      <c r="Q312" s="214"/>
      <c r="R312" s="214"/>
      <c r="S312" s="214"/>
      <c r="T312" s="214"/>
      <c r="U312" s="214"/>
      <c r="V312" s="214"/>
    </row>
    <row r="313" spans="1:22">
      <c r="A313" s="133" t="s">
        <v>77</v>
      </c>
      <c r="B313" s="134" t="s">
        <v>412</v>
      </c>
      <c r="C313" s="135" t="s">
        <v>81</v>
      </c>
      <c r="D313" s="238">
        <v>500</v>
      </c>
      <c r="E313" s="48">
        <v>0.45</v>
      </c>
      <c r="F313" s="48">
        <v>8</v>
      </c>
      <c r="G313" s="49">
        <f t="shared" si="20"/>
        <v>3.6</v>
      </c>
      <c r="H313" s="48">
        <v>1.71</v>
      </c>
      <c r="I313" s="50">
        <v>0.1</v>
      </c>
      <c r="J313" s="51">
        <f t="shared" si="21"/>
        <v>5.41</v>
      </c>
      <c r="K313" s="52">
        <f t="shared" si="22"/>
        <v>225</v>
      </c>
      <c r="L313" s="50">
        <f t="shared" si="25"/>
        <v>2340</v>
      </c>
      <c r="M313" s="50">
        <f t="shared" si="26"/>
        <v>1111.5</v>
      </c>
      <c r="N313" s="50">
        <f t="shared" si="23"/>
        <v>50</v>
      </c>
      <c r="O313" s="28">
        <f t="shared" si="24"/>
        <v>3501.5</v>
      </c>
      <c r="P313" s="193"/>
      <c r="Q313" s="214"/>
      <c r="R313" s="214"/>
      <c r="S313" s="214"/>
      <c r="T313" s="214"/>
      <c r="U313" s="214"/>
      <c r="V313" s="214"/>
    </row>
    <row r="314" spans="1:22">
      <c r="A314" s="133" t="s">
        <v>79</v>
      </c>
      <c r="B314" s="139" t="s">
        <v>413</v>
      </c>
      <c r="C314" s="135" t="s">
        <v>81</v>
      </c>
      <c r="D314" s="238">
        <v>100</v>
      </c>
      <c r="E314" s="48">
        <v>0.45</v>
      </c>
      <c r="F314" s="48">
        <v>8</v>
      </c>
      <c r="G314" s="49">
        <f t="shared" si="20"/>
        <v>3.6</v>
      </c>
      <c r="H314" s="48">
        <v>0.79</v>
      </c>
      <c r="I314" s="50">
        <v>0.1</v>
      </c>
      <c r="J314" s="51">
        <f t="shared" si="21"/>
        <v>4.49</v>
      </c>
      <c r="K314" s="52">
        <f t="shared" si="22"/>
        <v>45</v>
      </c>
      <c r="L314" s="50">
        <f t="shared" si="25"/>
        <v>468</v>
      </c>
      <c r="M314" s="50">
        <f t="shared" si="26"/>
        <v>102.7</v>
      </c>
      <c r="N314" s="50">
        <f t="shared" si="23"/>
        <v>10</v>
      </c>
      <c r="O314" s="28">
        <f t="shared" si="24"/>
        <v>580.70000000000005</v>
      </c>
      <c r="P314" s="193"/>
      <c r="Q314" s="214"/>
      <c r="R314" s="214"/>
      <c r="S314" s="214"/>
      <c r="T314" s="214"/>
      <c r="U314" s="214"/>
      <c r="V314" s="214"/>
    </row>
    <row r="315" spans="1:22">
      <c r="A315" s="133" t="s">
        <v>82</v>
      </c>
      <c r="B315" s="139" t="s">
        <v>414</v>
      </c>
      <c r="C315" s="135" t="s">
        <v>81</v>
      </c>
      <c r="D315" s="238">
        <v>20</v>
      </c>
      <c r="E315" s="48">
        <v>0.45</v>
      </c>
      <c r="F315" s="48">
        <v>8</v>
      </c>
      <c r="G315" s="49">
        <f t="shared" si="20"/>
        <v>3.6</v>
      </c>
      <c r="H315" s="48">
        <v>2.33</v>
      </c>
      <c r="I315" s="50">
        <v>0.1</v>
      </c>
      <c r="J315" s="51">
        <f t="shared" si="21"/>
        <v>6.0299999999999994</v>
      </c>
      <c r="K315" s="52">
        <f t="shared" si="22"/>
        <v>9</v>
      </c>
      <c r="L315" s="50">
        <f t="shared" si="25"/>
        <v>93.600000000000009</v>
      </c>
      <c r="M315" s="50">
        <f t="shared" si="26"/>
        <v>60.580000000000005</v>
      </c>
      <c r="N315" s="50">
        <f t="shared" si="23"/>
        <v>2</v>
      </c>
      <c r="O315" s="28">
        <f t="shared" si="24"/>
        <v>156.18</v>
      </c>
      <c r="P315" s="193"/>
      <c r="Q315" s="214"/>
      <c r="R315" s="214"/>
      <c r="S315" s="214"/>
      <c r="T315" s="214"/>
      <c r="U315" s="214"/>
      <c r="V315" s="214"/>
    </row>
    <row r="316" spans="1:22">
      <c r="A316" s="133" t="s">
        <v>85</v>
      </c>
      <c r="B316" s="139" t="s">
        <v>415</v>
      </c>
      <c r="C316" s="135" t="s">
        <v>81</v>
      </c>
      <c r="D316" s="238">
        <v>1</v>
      </c>
      <c r="E316" s="48">
        <v>0.45</v>
      </c>
      <c r="F316" s="48">
        <v>8</v>
      </c>
      <c r="G316" s="49">
        <f t="shared" si="20"/>
        <v>3.6</v>
      </c>
      <c r="H316" s="48">
        <v>2.9</v>
      </c>
      <c r="I316" s="50">
        <v>0.1</v>
      </c>
      <c r="J316" s="51">
        <f t="shared" si="21"/>
        <v>6.6</v>
      </c>
      <c r="K316" s="52">
        <f t="shared" si="22"/>
        <v>0.45</v>
      </c>
      <c r="L316" s="50">
        <f t="shared" si="25"/>
        <v>4.6800000000000006</v>
      </c>
      <c r="M316" s="50">
        <f t="shared" si="26"/>
        <v>3.77</v>
      </c>
      <c r="N316" s="50">
        <f t="shared" si="23"/>
        <v>0.1</v>
      </c>
      <c r="O316" s="28">
        <f t="shared" si="24"/>
        <v>8.5500000000000007</v>
      </c>
      <c r="P316" s="193"/>
      <c r="Q316" s="214"/>
      <c r="R316" s="214"/>
      <c r="S316" s="214"/>
      <c r="T316" s="214"/>
      <c r="U316" s="214"/>
      <c r="V316" s="214"/>
    </row>
    <row r="317" spans="1:22">
      <c r="A317" s="133" t="s">
        <v>87</v>
      </c>
      <c r="B317" s="134" t="s">
        <v>416</v>
      </c>
      <c r="C317" s="135" t="s">
        <v>81</v>
      </c>
      <c r="D317" s="238">
        <v>4</v>
      </c>
      <c r="E317" s="48">
        <v>0.45</v>
      </c>
      <c r="F317" s="48">
        <v>8</v>
      </c>
      <c r="G317" s="49">
        <f t="shared" si="20"/>
        <v>3.6</v>
      </c>
      <c r="H317" s="48">
        <v>0.95</v>
      </c>
      <c r="I317" s="50">
        <v>0.1</v>
      </c>
      <c r="J317" s="51">
        <f t="shared" si="21"/>
        <v>4.6499999999999995</v>
      </c>
      <c r="K317" s="52">
        <f t="shared" si="22"/>
        <v>1.8</v>
      </c>
      <c r="L317" s="50">
        <f t="shared" si="25"/>
        <v>18.720000000000002</v>
      </c>
      <c r="M317" s="50">
        <f t="shared" si="26"/>
        <v>4.9399999999999995</v>
      </c>
      <c r="N317" s="50">
        <f t="shared" si="23"/>
        <v>0.4</v>
      </c>
      <c r="O317" s="28">
        <f t="shared" si="24"/>
        <v>24.060000000000002</v>
      </c>
      <c r="P317" s="193"/>
      <c r="Q317" s="214"/>
      <c r="R317" s="214"/>
      <c r="S317" s="214"/>
      <c r="T317" s="214"/>
      <c r="U317" s="214"/>
      <c r="V317" s="214"/>
    </row>
    <row r="318" spans="1:22">
      <c r="A318" s="133" t="s">
        <v>89</v>
      </c>
      <c r="B318" s="139" t="s">
        <v>417</v>
      </c>
      <c r="C318" s="135" t="s">
        <v>84</v>
      </c>
      <c r="D318" s="238">
        <v>20</v>
      </c>
      <c r="E318" s="48">
        <v>0.45</v>
      </c>
      <c r="F318" s="48">
        <v>8</v>
      </c>
      <c r="G318" s="49">
        <f t="shared" si="20"/>
        <v>3.6</v>
      </c>
      <c r="H318" s="48">
        <v>2.4900000000000002</v>
      </c>
      <c r="I318" s="50">
        <v>0.1</v>
      </c>
      <c r="J318" s="51">
        <f t="shared" si="21"/>
        <v>6.1899999999999995</v>
      </c>
      <c r="K318" s="52">
        <f t="shared" si="22"/>
        <v>9</v>
      </c>
      <c r="L318" s="50">
        <f t="shared" si="25"/>
        <v>93.600000000000009</v>
      </c>
      <c r="M318" s="50">
        <f t="shared" si="26"/>
        <v>64.739999999999995</v>
      </c>
      <c r="N318" s="50">
        <f t="shared" si="23"/>
        <v>2</v>
      </c>
      <c r="O318" s="28">
        <f t="shared" si="24"/>
        <v>160.34</v>
      </c>
      <c r="P318" s="193"/>
      <c r="Q318" s="214"/>
      <c r="R318" s="214"/>
      <c r="S318" s="214"/>
      <c r="T318" s="214"/>
      <c r="U318" s="214"/>
      <c r="V318" s="214"/>
    </row>
    <row r="319" spans="1:22">
      <c r="A319" s="71"/>
      <c r="B319" s="83" t="s">
        <v>418</v>
      </c>
      <c r="C319" s="69"/>
      <c r="D319" s="69"/>
      <c r="E319" s="42"/>
      <c r="F319" s="69"/>
      <c r="G319" s="69"/>
      <c r="H319" s="69"/>
      <c r="I319" s="44"/>
      <c r="J319" s="69"/>
      <c r="K319" s="69"/>
      <c r="L319" s="44"/>
      <c r="M319" s="44"/>
      <c r="N319" s="69"/>
      <c r="O319" s="69"/>
      <c r="P319" s="193"/>
      <c r="Q319" s="214"/>
      <c r="R319" s="214"/>
      <c r="S319" s="214"/>
      <c r="T319" s="214"/>
      <c r="U319" s="214"/>
      <c r="V319" s="214"/>
    </row>
    <row r="320" spans="1:22">
      <c r="A320" s="133" t="s">
        <v>39</v>
      </c>
      <c r="B320" s="139" t="s">
        <v>419</v>
      </c>
      <c r="C320" s="135" t="s">
        <v>84</v>
      </c>
      <c r="D320" s="238">
        <v>4</v>
      </c>
      <c r="E320" s="48">
        <v>0.45</v>
      </c>
      <c r="F320" s="48">
        <v>8</v>
      </c>
      <c r="G320" s="49">
        <f t="shared" si="20"/>
        <v>3.6</v>
      </c>
      <c r="H320" s="48">
        <v>3.9</v>
      </c>
      <c r="I320" s="50">
        <v>0.1</v>
      </c>
      <c r="J320" s="51">
        <f t="shared" si="21"/>
        <v>7.6</v>
      </c>
      <c r="K320" s="52">
        <f t="shared" si="22"/>
        <v>1.8</v>
      </c>
      <c r="L320" s="50">
        <f t="shared" si="25"/>
        <v>18.720000000000002</v>
      </c>
      <c r="M320" s="50">
        <f t="shared" si="26"/>
        <v>20.28</v>
      </c>
      <c r="N320" s="50">
        <f t="shared" si="23"/>
        <v>0.4</v>
      </c>
      <c r="O320" s="28">
        <f t="shared" si="24"/>
        <v>39.4</v>
      </c>
      <c r="P320" s="193"/>
      <c r="Q320" s="214"/>
      <c r="R320" s="214"/>
      <c r="S320" s="214"/>
      <c r="T320" s="214"/>
      <c r="U320" s="214"/>
      <c r="V320" s="214"/>
    </row>
    <row r="321" spans="1:22" ht="31.5">
      <c r="A321" s="133" t="s">
        <v>71</v>
      </c>
      <c r="B321" s="139" t="s">
        <v>303</v>
      </c>
      <c r="C321" s="135" t="s">
        <v>81</v>
      </c>
      <c r="D321" s="238">
        <v>110</v>
      </c>
      <c r="E321" s="48">
        <v>0.45</v>
      </c>
      <c r="F321" s="48">
        <v>8</v>
      </c>
      <c r="G321" s="49">
        <f t="shared" si="20"/>
        <v>3.6</v>
      </c>
      <c r="H321" s="48">
        <v>18.2</v>
      </c>
      <c r="I321" s="50">
        <v>0.1</v>
      </c>
      <c r="J321" s="51">
        <f t="shared" si="21"/>
        <v>21.900000000000002</v>
      </c>
      <c r="K321" s="52">
        <f t="shared" si="22"/>
        <v>49.5</v>
      </c>
      <c r="L321" s="50">
        <f t="shared" si="25"/>
        <v>514.80000000000007</v>
      </c>
      <c r="M321" s="50">
        <f t="shared" si="26"/>
        <v>2602.6</v>
      </c>
      <c r="N321" s="50">
        <f t="shared" si="23"/>
        <v>11</v>
      </c>
      <c r="O321" s="28">
        <f t="shared" si="24"/>
        <v>3128.4</v>
      </c>
      <c r="P321" s="193"/>
      <c r="Q321" s="214"/>
      <c r="R321" s="214"/>
      <c r="S321" s="214"/>
      <c r="T321" s="214"/>
      <c r="U321" s="214"/>
      <c r="V321" s="214"/>
    </row>
    <row r="322" spans="1:22">
      <c r="A322" s="133" t="s">
        <v>74</v>
      </c>
      <c r="B322" s="139" t="s">
        <v>305</v>
      </c>
      <c r="C322" s="135" t="s">
        <v>81</v>
      </c>
      <c r="D322" s="238">
        <v>110</v>
      </c>
      <c r="E322" s="48">
        <v>0.45</v>
      </c>
      <c r="F322" s="48">
        <v>8</v>
      </c>
      <c r="G322" s="49">
        <f t="shared" si="20"/>
        <v>3.6</v>
      </c>
      <c r="H322" s="48">
        <v>1.4</v>
      </c>
      <c r="I322" s="50">
        <v>0.1</v>
      </c>
      <c r="J322" s="51">
        <f t="shared" si="21"/>
        <v>5.0999999999999996</v>
      </c>
      <c r="K322" s="52">
        <f t="shared" si="22"/>
        <v>49.5</v>
      </c>
      <c r="L322" s="50">
        <f t="shared" si="25"/>
        <v>514.80000000000007</v>
      </c>
      <c r="M322" s="50">
        <f t="shared" si="26"/>
        <v>200.20000000000002</v>
      </c>
      <c r="N322" s="50">
        <f t="shared" si="23"/>
        <v>11</v>
      </c>
      <c r="O322" s="28">
        <f t="shared" si="24"/>
        <v>726.00000000000011</v>
      </c>
      <c r="P322" s="193"/>
      <c r="Q322" s="214"/>
      <c r="R322" s="214"/>
      <c r="S322" s="214"/>
      <c r="T322" s="214"/>
      <c r="U322" s="214"/>
      <c r="V322" s="214"/>
    </row>
    <row r="323" spans="1:22">
      <c r="A323" s="133" t="s">
        <v>77</v>
      </c>
      <c r="B323" s="139" t="s">
        <v>306</v>
      </c>
      <c r="C323" s="135" t="s">
        <v>81</v>
      </c>
      <c r="D323" s="238">
        <v>11</v>
      </c>
      <c r="E323" s="48">
        <v>0.45</v>
      </c>
      <c r="F323" s="48">
        <v>8</v>
      </c>
      <c r="G323" s="49">
        <f t="shared" si="20"/>
        <v>3.6</v>
      </c>
      <c r="H323" s="48">
        <v>19.940000000000001</v>
      </c>
      <c r="I323" s="50">
        <v>0.1</v>
      </c>
      <c r="J323" s="51">
        <f t="shared" si="21"/>
        <v>23.640000000000004</v>
      </c>
      <c r="K323" s="52">
        <f t="shared" si="22"/>
        <v>4.95</v>
      </c>
      <c r="L323" s="50">
        <f t="shared" si="25"/>
        <v>51.480000000000004</v>
      </c>
      <c r="M323" s="50">
        <f t="shared" si="26"/>
        <v>285.142</v>
      </c>
      <c r="N323" s="50">
        <f t="shared" si="23"/>
        <v>1.1000000000000001</v>
      </c>
      <c r="O323" s="28">
        <f t="shared" si="24"/>
        <v>337.72200000000004</v>
      </c>
      <c r="P323" s="193"/>
      <c r="Q323" s="214"/>
      <c r="R323" s="214"/>
      <c r="S323" s="214"/>
      <c r="T323" s="214"/>
      <c r="U323" s="214"/>
      <c r="V323" s="214"/>
    </row>
    <row r="324" spans="1:22">
      <c r="A324" s="133" t="s">
        <v>79</v>
      </c>
      <c r="B324" s="134" t="s">
        <v>307</v>
      </c>
      <c r="C324" s="135" t="s">
        <v>81</v>
      </c>
      <c r="D324" s="238">
        <v>11</v>
      </c>
      <c r="E324" s="48">
        <v>0.45</v>
      </c>
      <c r="F324" s="48">
        <v>8</v>
      </c>
      <c r="G324" s="49">
        <f t="shared" si="20"/>
        <v>3.6</v>
      </c>
      <c r="H324" s="48">
        <v>1.1200000000000001</v>
      </c>
      <c r="I324" s="50">
        <v>0.1</v>
      </c>
      <c r="J324" s="51">
        <f t="shared" si="21"/>
        <v>4.82</v>
      </c>
      <c r="K324" s="52">
        <f t="shared" si="22"/>
        <v>4.95</v>
      </c>
      <c r="L324" s="50">
        <f t="shared" si="25"/>
        <v>51.480000000000004</v>
      </c>
      <c r="M324" s="50">
        <f t="shared" si="26"/>
        <v>16.016000000000002</v>
      </c>
      <c r="N324" s="50">
        <f t="shared" si="23"/>
        <v>1.1000000000000001</v>
      </c>
      <c r="O324" s="28">
        <f t="shared" si="24"/>
        <v>68.596000000000004</v>
      </c>
      <c r="P324" s="193"/>
      <c r="Q324" s="214"/>
      <c r="R324" s="214"/>
      <c r="S324" s="214"/>
      <c r="T324" s="214"/>
      <c r="U324" s="214"/>
      <c r="V324" s="214"/>
    </row>
    <row r="325" spans="1:22" ht="31.5">
      <c r="A325" s="133" t="s">
        <v>82</v>
      </c>
      <c r="B325" s="137" t="s">
        <v>308</v>
      </c>
      <c r="C325" s="135" t="s">
        <v>81</v>
      </c>
      <c r="D325" s="238">
        <v>11</v>
      </c>
      <c r="E325" s="48">
        <v>0.45</v>
      </c>
      <c r="F325" s="48">
        <v>8</v>
      </c>
      <c r="G325" s="49">
        <f t="shared" si="20"/>
        <v>3.6</v>
      </c>
      <c r="H325" s="48">
        <v>1.1200000000000001</v>
      </c>
      <c r="I325" s="50">
        <v>0.1</v>
      </c>
      <c r="J325" s="51">
        <f t="shared" si="21"/>
        <v>4.82</v>
      </c>
      <c r="K325" s="52">
        <f t="shared" si="22"/>
        <v>4.95</v>
      </c>
      <c r="L325" s="50">
        <f t="shared" si="25"/>
        <v>51.480000000000004</v>
      </c>
      <c r="M325" s="50">
        <f t="shared" si="26"/>
        <v>16.016000000000002</v>
      </c>
      <c r="N325" s="50">
        <f t="shared" si="23"/>
        <v>1.1000000000000001</v>
      </c>
      <c r="O325" s="28">
        <f t="shared" si="24"/>
        <v>68.596000000000004</v>
      </c>
      <c r="P325" s="193"/>
      <c r="Q325" s="214"/>
      <c r="R325" s="214"/>
      <c r="S325" s="214"/>
      <c r="T325" s="214"/>
      <c r="U325" s="214"/>
      <c r="V325" s="214"/>
    </row>
    <row r="326" spans="1:22">
      <c r="A326" s="133" t="s">
        <v>85</v>
      </c>
      <c r="B326" s="139" t="s">
        <v>309</v>
      </c>
      <c r="C326" s="135" t="s">
        <v>81</v>
      </c>
      <c r="D326" s="238">
        <v>3</v>
      </c>
      <c r="E326" s="48">
        <v>0.45</v>
      </c>
      <c r="F326" s="48">
        <v>8</v>
      </c>
      <c r="G326" s="49">
        <f t="shared" si="20"/>
        <v>3.6</v>
      </c>
      <c r="H326" s="48">
        <v>0.28999999999999998</v>
      </c>
      <c r="I326" s="50">
        <v>0.1</v>
      </c>
      <c r="J326" s="51">
        <f t="shared" si="21"/>
        <v>3.99</v>
      </c>
      <c r="K326" s="52">
        <f t="shared" si="22"/>
        <v>1.35</v>
      </c>
      <c r="L326" s="50">
        <f t="shared" si="25"/>
        <v>14.040000000000001</v>
      </c>
      <c r="M326" s="50">
        <f t="shared" si="26"/>
        <v>1.131</v>
      </c>
      <c r="N326" s="50">
        <f t="shared" si="23"/>
        <v>0.3</v>
      </c>
      <c r="O326" s="28">
        <f t="shared" si="24"/>
        <v>15.471000000000002</v>
      </c>
      <c r="P326" s="193"/>
      <c r="Q326" s="214"/>
      <c r="R326" s="214"/>
      <c r="S326" s="214"/>
      <c r="T326" s="214"/>
      <c r="U326" s="214"/>
      <c r="V326" s="214"/>
    </row>
    <row r="327" spans="1:22">
      <c r="A327" s="133" t="s">
        <v>87</v>
      </c>
      <c r="B327" s="139" t="s">
        <v>310</v>
      </c>
      <c r="C327" s="135" t="s">
        <v>81</v>
      </c>
      <c r="D327" s="238">
        <v>37</v>
      </c>
      <c r="E327" s="48">
        <v>0.45</v>
      </c>
      <c r="F327" s="48">
        <v>8</v>
      </c>
      <c r="G327" s="49">
        <f t="shared" si="20"/>
        <v>3.6</v>
      </c>
      <c r="H327" s="48">
        <v>0.48</v>
      </c>
      <c r="I327" s="50">
        <v>0.1</v>
      </c>
      <c r="J327" s="51">
        <f t="shared" si="21"/>
        <v>4.18</v>
      </c>
      <c r="K327" s="52">
        <f t="shared" si="22"/>
        <v>16.649999999999999</v>
      </c>
      <c r="L327" s="50">
        <f t="shared" si="25"/>
        <v>173.16</v>
      </c>
      <c r="M327" s="50">
        <f t="shared" si="26"/>
        <v>23.088000000000005</v>
      </c>
      <c r="N327" s="50">
        <f t="shared" si="23"/>
        <v>3.7</v>
      </c>
      <c r="O327" s="28">
        <f t="shared" si="24"/>
        <v>199.94799999999998</v>
      </c>
      <c r="P327" s="193"/>
      <c r="Q327" s="214"/>
      <c r="R327" s="214"/>
      <c r="S327" s="214"/>
      <c r="T327" s="214"/>
      <c r="U327" s="214"/>
      <c r="V327" s="214"/>
    </row>
    <row r="328" spans="1:22" ht="31.5">
      <c r="A328" s="133" t="s">
        <v>89</v>
      </c>
      <c r="B328" s="139" t="s">
        <v>311</v>
      </c>
      <c r="C328" s="135" t="s">
        <v>81</v>
      </c>
      <c r="D328" s="238">
        <v>1</v>
      </c>
      <c r="E328" s="48">
        <v>0.45</v>
      </c>
      <c r="F328" s="48">
        <v>8</v>
      </c>
      <c r="G328" s="49">
        <f t="shared" si="20"/>
        <v>3.6</v>
      </c>
      <c r="H328" s="48">
        <v>44.77</v>
      </c>
      <c r="I328" s="50">
        <v>0.1</v>
      </c>
      <c r="J328" s="51">
        <f t="shared" si="21"/>
        <v>48.470000000000006</v>
      </c>
      <c r="K328" s="52">
        <f t="shared" si="22"/>
        <v>0.45</v>
      </c>
      <c r="L328" s="50">
        <f t="shared" si="25"/>
        <v>4.6800000000000006</v>
      </c>
      <c r="M328" s="50">
        <f t="shared" si="26"/>
        <v>58.201000000000008</v>
      </c>
      <c r="N328" s="50">
        <f t="shared" si="23"/>
        <v>0.1</v>
      </c>
      <c r="O328" s="28">
        <f t="shared" si="24"/>
        <v>62.981000000000009</v>
      </c>
      <c r="P328" s="193"/>
      <c r="Q328" s="214"/>
      <c r="R328" s="214"/>
      <c r="S328" s="214"/>
      <c r="T328" s="214"/>
      <c r="U328" s="214"/>
      <c r="V328" s="214"/>
    </row>
    <row r="329" spans="1:22">
      <c r="A329" s="133" t="s">
        <v>91</v>
      </c>
      <c r="B329" s="139" t="s">
        <v>312</v>
      </c>
      <c r="C329" s="135" t="s">
        <v>81</v>
      </c>
      <c r="D329" s="238">
        <v>3</v>
      </c>
      <c r="E329" s="48">
        <v>0.45</v>
      </c>
      <c r="F329" s="48">
        <v>8</v>
      </c>
      <c r="G329" s="49">
        <f t="shared" si="20"/>
        <v>3.6</v>
      </c>
      <c r="H329" s="48">
        <v>32.18</v>
      </c>
      <c r="I329" s="50">
        <v>0.1</v>
      </c>
      <c r="J329" s="51">
        <f t="shared" si="21"/>
        <v>35.880000000000003</v>
      </c>
      <c r="K329" s="52">
        <f t="shared" si="22"/>
        <v>1.35</v>
      </c>
      <c r="L329" s="50">
        <f t="shared" si="25"/>
        <v>14.040000000000001</v>
      </c>
      <c r="M329" s="50">
        <f t="shared" si="26"/>
        <v>125.50200000000001</v>
      </c>
      <c r="N329" s="50">
        <f t="shared" si="23"/>
        <v>0.3</v>
      </c>
      <c r="O329" s="28">
        <f t="shared" si="24"/>
        <v>139.84200000000001</v>
      </c>
      <c r="P329" s="193"/>
      <c r="Q329" s="214"/>
      <c r="R329" s="214"/>
      <c r="S329" s="214"/>
      <c r="T329" s="214"/>
      <c r="U329" s="214"/>
      <c r="V329" s="214"/>
    </row>
    <row r="330" spans="1:22" ht="31.5">
      <c r="A330" s="133" t="s">
        <v>93</v>
      </c>
      <c r="B330" s="139" t="s">
        <v>313</v>
      </c>
      <c r="C330" s="135" t="s">
        <v>81</v>
      </c>
      <c r="D330" s="238">
        <v>15</v>
      </c>
      <c r="E330" s="48">
        <v>0.45</v>
      </c>
      <c r="F330" s="48">
        <v>8</v>
      </c>
      <c r="G330" s="49">
        <f t="shared" si="20"/>
        <v>3.6</v>
      </c>
      <c r="H330" s="48">
        <v>22.73</v>
      </c>
      <c r="I330" s="50">
        <v>0.1</v>
      </c>
      <c r="J330" s="51">
        <f t="shared" si="21"/>
        <v>26.430000000000003</v>
      </c>
      <c r="K330" s="52">
        <f t="shared" si="22"/>
        <v>6.75</v>
      </c>
      <c r="L330" s="50">
        <f t="shared" si="25"/>
        <v>70.2</v>
      </c>
      <c r="M330" s="50">
        <f t="shared" si="26"/>
        <v>443.23500000000001</v>
      </c>
      <c r="N330" s="50">
        <f t="shared" si="23"/>
        <v>1.5</v>
      </c>
      <c r="O330" s="28">
        <f t="shared" si="24"/>
        <v>514.93500000000006</v>
      </c>
      <c r="P330" s="193"/>
      <c r="Q330" s="214"/>
      <c r="R330" s="214"/>
      <c r="S330" s="214"/>
      <c r="T330" s="214"/>
      <c r="U330" s="214"/>
      <c r="V330" s="214"/>
    </row>
    <row r="331" spans="1:22">
      <c r="A331" s="133" t="s">
        <v>95</v>
      </c>
      <c r="B331" s="139" t="s">
        <v>314</v>
      </c>
      <c r="C331" s="135" t="s">
        <v>81</v>
      </c>
      <c r="D331" s="238">
        <v>3</v>
      </c>
      <c r="E331" s="48">
        <v>0.45</v>
      </c>
      <c r="F331" s="48">
        <v>8</v>
      </c>
      <c r="G331" s="49">
        <f t="shared" si="20"/>
        <v>3.6</v>
      </c>
      <c r="H331" s="48">
        <v>6.17</v>
      </c>
      <c r="I331" s="50">
        <v>0.1</v>
      </c>
      <c r="J331" s="51">
        <f t="shared" si="21"/>
        <v>9.8699999999999992</v>
      </c>
      <c r="K331" s="52">
        <f t="shared" si="22"/>
        <v>1.35</v>
      </c>
      <c r="L331" s="50">
        <f t="shared" si="25"/>
        <v>14.040000000000001</v>
      </c>
      <c r="M331" s="50">
        <f t="shared" si="26"/>
        <v>24.063000000000002</v>
      </c>
      <c r="N331" s="50">
        <f t="shared" si="23"/>
        <v>0.3</v>
      </c>
      <c r="O331" s="28">
        <f t="shared" si="24"/>
        <v>38.402999999999999</v>
      </c>
      <c r="P331" s="193"/>
      <c r="Q331" s="214"/>
      <c r="R331" s="214"/>
      <c r="S331" s="214"/>
      <c r="T331" s="214"/>
      <c r="U331" s="214"/>
      <c r="V331" s="214"/>
    </row>
    <row r="332" spans="1:22" ht="31.5">
      <c r="A332" s="133" t="s">
        <v>97</v>
      </c>
      <c r="B332" s="139" t="s">
        <v>315</v>
      </c>
      <c r="C332" s="135" t="s">
        <v>81</v>
      </c>
      <c r="D332" s="238">
        <v>1</v>
      </c>
      <c r="E332" s="48">
        <v>0.45</v>
      </c>
      <c r="F332" s="48">
        <v>8</v>
      </c>
      <c r="G332" s="49">
        <f t="shared" si="20"/>
        <v>3.6</v>
      </c>
      <c r="H332" s="48">
        <v>36.01</v>
      </c>
      <c r="I332" s="50">
        <v>0.1</v>
      </c>
      <c r="J332" s="51">
        <f t="shared" si="21"/>
        <v>39.71</v>
      </c>
      <c r="K332" s="52">
        <f t="shared" si="22"/>
        <v>0.45</v>
      </c>
      <c r="L332" s="50">
        <f t="shared" si="25"/>
        <v>4.6800000000000006</v>
      </c>
      <c r="M332" s="50">
        <f t="shared" si="26"/>
        <v>46.813000000000002</v>
      </c>
      <c r="N332" s="50">
        <f t="shared" si="23"/>
        <v>0.1</v>
      </c>
      <c r="O332" s="28">
        <f t="shared" si="24"/>
        <v>51.593000000000004</v>
      </c>
      <c r="P332" s="193"/>
      <c r="Q332" s="214"/>
      <c r="R332" s="214"/>
      <c r="S332" s="214"/>
      <c r="T332" s="214"/>
      <c r="U332" s="214"/>
      <c r="V332" s="214"/>
    </row>
    <row r="333" spans="1:22" ht="31.5">
      <c r="A333" s="133" t="s">
        <v>99</v>
      </c>
      <c r="B333" s="134" t="s">
        <v>317</v>
      </c>
      <c r="C333" s="133" t="s">
        <v>84</v>
      </c>
      <c r="D333" s="238">
        <v>750</v>
      </c>
      <c r="E333" s="48">
        <v>0.45</v>
      </c>
      <c r="F333" s="48">
        <v>8</v>
      </c>
      <c r="G333" s="49">
        <f t="shared" si="20"/>
        <v>3.6</v>
      </c>
      <c r="H333" s="48">
        <v>0.5</v>
      </c>
      <c r="I333" s="50">
        <v>0.1</v>
      </c>
      <c r="J333" s="51">
        <f t="shared" si="21"/>
        <v>4.1999999999999993</v>
      </c>
      <c r="K333" s="52">
        <f t="shared" si="22"/>
        <v>337.5</v>
      </c>
      <c r="L333" s="50">
        <f t="shared" si="25"/>
        <v>3510</v>
      </c>
      <c r="M333" s="50">
        <f t="shared" si="26"/>
        <v>487.5</v>
      </c>
      <c r="N333" s="50">
        <f t="shared" si="23"/>
        <v>75</v>
      </c>
      <c r="O333" s="28">
        <f t="shared" si="24"/>
        <v>4072.5</v>
      </c>
      <c r="P333" s="193"/>
      <c r="Q333" s="214"/>
      <c r="R333" s="214"/>
      <c r="S333" s="214"/>
      <c r="T333" s="214"/>
      <c r="U333" s="214"/>
      <c r="V333" s="214"/>
    </row>
    <row r="334" spans="1:22">
      <c r="A334" s="133" t="s">
        <v>192</v>
      </c>
      <c r="B334" s="134" t="s">
        <v>420</v>
      </c>
      <c r="C334" s="133" t="s">
        <v>84</v>
      </c>
      <c r="D334" s="238">
        <v>80</v>
      </c>
      <c r="E334" s="48">
        <v>0.45</v>
      </c>
      <c r="F334" s="48">
        <v>8</v>
      </c>
      <c r="G334" s="49">
        <f t="shared" si="20"/>
        <v>3.6</v>
      </c>
      <c r="H334" s="48">
        <v>0.23</v>
      </c>
      <c r="I334" s="50">
        <v>0.1</v>
      </c>
      <c r="J334" s="51">
        <f>SUM(G334:I334)</f>
        <v>3.93</v>
      </c>
      <c r="K334" s="52">
        <f>ROUND(D334*E334,2)</f>
        <v>36</v>
      </c>
      <c r="L334" s="50">
        <f t="shared" si="25"/>
        <v>374.40000000000003</v>
      </c>
      <c r="M334" s="50">
        <f t="shared" si="26"/>
        <v>23.919999999999998</v>
      </c>
      <c r="N334" s="50">
        <f>ROUND(D334*I334,2)</f>
        <v>8</v>
      </c>
      <c r="O334" s="28">
        <f>SUM(L334:N334)</f>
        <v>406.32000000000005</v>
      </c>
      <c r="P334" s="193"/>
      <c r="Q334" s="214"/>
      <c r="R334" s="214"/>
      <c r="S334" s="214"/>
      <c r="T334" s="214"/>
      <c r="U334" s="214"/>
      <c r="V334" s="214"/>
    </row>
    <row r="335" spans="1:22">
      <c r="A335" s="133" t="s">
        <v>194</v>
      </c>
      <c r="B335" s="139" t="s">
        <v>319</v>
      </c>
      <c r="C335" s="133" t="s">
        <v>84</v>
      </c>
      <c r="D335" s="238">
        <v>280</v>
      </c>
      <c r="E335" s="48">
        <v>0.45</v>
      </c>
      <c r="F335" s="48">
        <v>8</v>
      </c>
      <c r="G335" s="49">
        <f t="shared" si="20"/>
        <v>3.6</v>
      </c>
      <c r="H335" s="48">
        <v>0.27</v>
      </c>
      <c r="I335" s="50">
        <v>0.1</v>
      </c>
      <c r="J335" s="51">
        <f t="shared" si="21"/>
        <v>3.97</v>
      </c>
      <c r="K335" s="52">
        <f t="shared" si="22"/>
        <v>126</v>
      </c>
      <c r="L335" s="50">
        <f t="shared" si="25"/>
        <v>1310.4000000000001</v>
      </c>
      <c r="M335" s="50">
        <f t="shared" si="26"/>
        <v>98.28</v>
      </c>
      <c r="N335" s="50">
        <f t="shared" si="23"/>
        <v>28</v>
      </c>
      <c r="O335" s="28">
        <f t="shared" si="24"/>
        <v>1436.68</v>
      </c>
      <c r="P335" s="193"/>
      <c r="Q335" s="214"/>
      <c r="R335" s="214"/>
      <c r="S335" s="214"/>
      <c r="T335" s="214"/>
      <c r="U335" s="214"/>
      <c r="V335" s="214"/>
    </row>
    <row r="336" spans="1:22">
      <c r="A336" s="133" t="s">
        <v>196</v>
      </c>
      <c r="B336" s="139" t="s">
        <v>393</v>
      </c>
      <c r="C336" s="133" t="s">
        <v>84</v>
      </c>
      <c r="D336" s="238">
        <v>12</v>
      </c>
      <c r="E336" s="48">
        <v>0.45</v>
      </c>
      <c r="F336" s="48">
        <v>8</v>
      </c>
      <c r="G336" s="49">
        <f t="shared" si="20"/>
        <v>3.6</v>
      </c>
      <c r="H336" s="48">
        <v>0.4</v>
      </c>
      <c r="I336" s="50">
        <v>0.1</v>
      </c>
      <c r="J336" s="51">
        <f t="shared" si="21"/>
        <v>4.0999999999999996</v>
      </c>
      <c r="K336" s="52">
        <f t="shared" si="22"/>
        <v>5.4</v>
      </c>
      <c r="L336" s="50">
        <f t="shared" si="25"/>
        <v>56.160000000000004</v>
      </c>
      <c r="M336" s="50">
        <f t="shared" si="26"/>
        <v>6.24</v>
      </c>
      <c r="N336" s="50">
        <f t="shared" si="23"/>
        <v>1.2</v>
      </c>
      <c r="O336" s="28">
        <f t="shared" si="24"/>
        <v>63.600000000000009</v>
      </c>
      <c r="P336" s="193"/>
      <c r="Q336" s="214"/>
      <c r="R336" s="214"/>
      <c r="S336" s="214"/>
      <c r="T336" s="214"/>
      <c r="U336" s="214"/>
      <c r="V336" s="214"/>
    </row>
    <row r="337" spans="1:22" ht="31.5">
      <c r="A337" s="133" t="s">
        <v>198</v>
      </c>
      <c r="B337" s="139" t="s">
        <v>320</v>
      </c>
      <c r="C337" s="133" t="s">
        <v>81</v>
      </c>
      <c r="D337" s="238">
        <v>13</v>
      </c>
      <c r="E337" s="48">
        <v>0.45</v>
      </c>
      <c r="F337" s="48">
        <v>8</v>
      </c>
      <c r="G337" s="49">
        <f t="shared" si="20"/>
        <v>3.6</v>
      </c>
      <c r="H337" s="48">
        <v>0.35</v>
      </c>
      <c r="I337" s="50">
        <v>0.1</v>
      </c>
      <c r="J337" s="51">
        <f t="shared" si="21"/>
        <v>4.05</v>
      </c>
      <c r="K337" s="52">
        <f t="shared" si="22"/>
        <v>5.85</v>
      </c>
      <c r="L337" s="50">
        <f t="shared" si="25"/>
        <v>60.839999999999996</v>
      </c>
      <c r="M337" s="50">
        <f t="shared" si="26"/>
        <v>5.915</v>
      </c>
      <c r="N337" s="50">
        <f t="shared" si="23"/>
        <v>1.3</v>
      </c>
      <c r="O337" s="28">
        <f t="shared" si="24"/>
        <v>68.054999999999993</v>
      </c>
      <c r="P337" s="193"/>
      <c r="Q337" s="214"/>
      <c r="R337" s="214"/>
      <c r="S337" s="214"/>
      <c r="T337" s="214"/>
      <c r="U337" s="214"/>
      <c r="V337" s="214"/>
    </row>
    <row r="338" spans="1:22" ht="31.5">
      <c r="A338" s="133" t="s">
        <v>200</v>
      </c>
      <c r="B338" s="139" t="s">
        <v>321</v>
      </c>
      <c r="C338" s="133" t="s">
        <v>105</v>
      </c>
      <c r="D338" s="238">
        <v>4</v>
      </c>
      <c r="E338" s="48">
        <v>0.45</v>
      </c>
      <c r="F338" s="48">
        <v>8</v>
      </c>
      <c r="G338" s="49">
        <f t="shared" si="20"/>
        <v>3.6</v>
      </c>
      <c r="H338" s="48">
        <v>22.7</v>
      </c>
      <c r="I338" s="50">
        <v>0.1</v>
      </c>
      <c r="J338" s="51">
        <f t="shared" si="21"/>
        <v>26.400000000000002</v>
      </c>
      <c r="K338" s="52">
        <f t="shared" si="22"/>
        <v>1.8</v>
      </c>
      <c r="L338" s="50">
        <f t="shared" si="25"/>
        <v>18.720000000000002</v>
      </c>
      <c r="M338" s="50">
        <f t="shared" si="26"/>
        <v>118.04</v>
      </c>
      <c r="N338" s="50">
        <f t="shared" si="23"/>
        <v>0.4</v>
      </c>
      <c r="O338" s="28">
        <f t="shared" si="24"/>
        <v>137.16000000000003</v>
      </c>
      <c r="P338" s="193"/>
      <c r="Q338" s="214"/>
      <c r="R338" s="214"/>
      <c r="S338" s="214"/>
      <c r="T338" s="214"/>
      <c r="U338" s="214"/>
      <c r="V338" s="214"/>
    </row>
    <row r="339" spans="1:22" ht="31.5">
      <c r="A339" s="133" t="s">
        <v>202</v>
      </c>
      <c r="B339" s="139" t="s">
        <v>322</v>
      </c>
      <c r="C339" s="133" t="s">
        <v>105</v>
      </c>
      <c r="D339" s="238">
        <v>1</v>
      </c>
      <c r="E339" s="48">
        <v>0.45</v>
      </c>
      <c r="F339" s="48">
        <v>8</v>
      </c>
      <c r="G339" s="49">
        <f t="shared" si="20"/>
        <v>3.6</v>
      </c>
      <c r="H339" s="48">
        <v>0</v>
      </c>
      <c r="I339" s="50">
        <v>0.1</v>
      </c>
      <c r="J339" s="51">
        <f t="shared" si="21"/>
        <v>3.7</v>
      </c>
      <c r="K339" s="52">
        <f t="shared" si="22"/>
        <v>0.45</v>
      </c>
      <c r="L339" s="50">
        <f t="shared" ref="L339:L352" si="27">ROUND(D339*G339,2)*1.3</f>
        <v>4.6800000000000006</v>
      </c>
      <c r="M339" s="50">
        <f t="shared" ref="M339:M352" si="28">ROUND(D339*H339,2)*1.3</f>
        <v>0</v>
      </c>
      <c r="N339" s="50">
        <f t="shared" si="23"/>
        <v>0.1</v>
      </c>
      <c r="O339" s="28">
        <f t="shared" si="24"/>
        <v>4.78</v>
      </c>
      <c r="P339" s="193"/>
      <c r="Q339" s="214"/>
      <c r="R339" s="214"/>
      <c r="S339" s="214"/>
      <c r="T339" s="214"/>
      <c r="U339" s="214"/>
      <c r="V339" s="214"/>
    </row>
    <row r="340" spans="1:22">
      <c r="A340" s="71"/>
      <c r="B340" s="84" t="s">
        <v>323</v>
      </c>
      <c r="C340" s="71"/>
      <c r="D340" s="71"/>
      <c r="E340" s="42"/>
      <c r="F340" s="71"/>
      <c r="G340" s="71"/>
      <c r="H340" s="71"/>
      <c r="I340" s="44"/>
      <c r="J340" s="71"/>
      <c r="K340" s="71"/>
      <c r="L340" s="44"/>
      <c r="M340" s="44"/>
      <c r="N340" s="71"/>
      <c r="O340" s="71"/>
      <c r="P340" s="193"/>
      <c r="Q340" s="214"/>
      <c r="R340" s="214"/>
      <c r="S340" s="214"/>
      <c r="T340" s="214"/>
      <c r="U340" s="214"/>
      <c r="V340" s="214"/>
    </row>
    <row r="341" spans="1:22">
      <c r="A341" s="133" t="s">
        <v>74</v>
      </c>
      <c r="B341" s="134" t="s">
        <v>328</v>
      </c>
      <c r="C341" s="133" t="s">
        <v>81</v>
      </c>
      <c r="D341" s="238">
        <v>1</v>
      </c>
      <c r="E341" s="48">
        <v>0.45</v>
      </c>
      <c r="F341" s="48">
        <v>8</v>
      </c>
      <c r="G341" s="49">
        <f t="shared" si="20"/>
        <v>3.6</v>
      </c>
      <c r="H341" s="48">
        <v>184.81</v>
      </c>
      <c r="I341" s="50">
        <v>0.1</v>
      </c>
      <c r="J341" s="51">
        <f t="shared" si="21"/>
        <v>188.51</v>
      </c>
      <c r="K341" s="52">
        <f t="shared" si="22"/>
        <v>0.45</v>
      </c>
      <c r="L341" s="50">
        <f t="shared" si="27"/>
        <v>4.6800000000000006</v>
      </c>
      <c r="M341" s="50">
        <f t="shared" si="28"/>
        <v>240.25300000000001</v>
      </c>
      <c r="N341" s="50">
        <f t="shared" si="23"/>
        <v>0.1</v>
      </c>
      <c r="O341" s="28">
        <f t="shared" si="24"/>
        <v>245.03300000000002</v>
      </c>
      <c r="P341" s="193"/>
      <c r="Q341" s="214"/>
      <c r="R341" s="214"/>
      <c r="S341" s="214"/>
      <c r="T341" s="214"/>
      <c r="U341" s="214"/>
      <c r="V341" s="214"/>
    </row>
    <row r="342" spans="1:22" ht="47.25">
      <c r="A342" s="133" t="s">
        <v>77</v>
      </c>
      <c r="B342" s="139" t="s">
        <v>332</v>
      </c>
      <c r="C342" s="133" t="s">
        <v>81</v>
      </c>
      <c r="D342" s="238">
        <v>19</v>
      </c>
      <c r="E342" s="48">
        <v>0.45</v>
      </c>
      <c r="F342" s="48">
        <v>8</v>
      </c>
      <c r="G342" s="49">
        <f t="shared" si="20"/>
        <v>3.6</v>
      </c>
      <c r="H342" s="48">
        <v>12.58</v>
      </c>
      <c r="I342" s="50">
        <v>0.1</v>
      </c>
      <c r="J342" s="51">
        <f t="shared" si="21"/>
        <v>16.28</v>
      </c>
      <c r="K342" s="52">
        <f t="shared" si="22"/>
        <v>8.5500000000000007</v>
      </c>
      <c r="L342" s="50">
        <f t="shared" si="27"/>
        <v>88.920000000000016</v>
      </c>
      <c r="M342" s="50">
        <f t="shared" si="28"/>
        <v>310.726</v>
      </c>
      <c r="N342" s="50">
        <f t="shared" si="23"/>
        <v>1.9</v>
      </c>
      <c r="O342" s="28">
        <f t="shared" si="24"/>
        <v>401.54599999999999</v>
      </c>
      <c r="P342" s="193"/>
      <c r="Q342" s="214"/>
      <c r="R342" s="214"/>
      <c r="S342" s="214"/>
      <c r="T342" s="214"/>
      <c r="U342" s="214"/>
      <c r="V342" s="214"/>
    </row>
    <row r="343" spans="1:22" ht="31.5">
      <c r="A343" s="133"/>
      <c r="B343" s="139" t="s">
        <v>395</v>
      </c>
      <c r="C343" s="133" t="s">
        <v>81</v>
      </c>
      <c r="D343" s="238">
        <v>4</v>
      </c>
      <c r="E343" s="48">
        <v>0.45</v>
      </c>
      <c r="F343" s="48">
        <v>8</v>
      </c>
      <c r="G343" s="49">
        <f t="shared" si="20"/>
        <v>3.6</v>
      </c>
      <c r="H343" s="48">
        <v>71.64</v>
      </c>
      <c r="I343" s="50">
        <v>0.1</v>
      </c>
      <c r="J343" s="51">
        <f t="shared" si="21"/>
        <v>75.339999999999989</v>
      </c>
      <c r="K343" s="52">
        <f t="shared" si="22"/>
        <v>1.8</v>
      </c>
      <c r="L343" s="50">
        <f t="shared" si="27"/>
        <v>18.720000000000002</v>
      </c>
      <c r="M343" s="50">
        <f t="shared" si="28"/>
        <v>372.52800000000002</v>
      </c>
      <c r="N343" s="50">
        <f t="shared" si="23"/>
        <v>0.4</v>
      </c>
      <c r="O343" s="28"/>
      <c r="P343" s="193"/>
      <c r="Q343" s="214"/>
      <c r="R343" s="214"/>
      <c r="S343" s="214"/>
      <c r="T343" s="214"/>
      <c r="U343" s="214"/>
      <c r="V343" s="214"/>
    </row>
    <row r="344" spans="1:22" ht="47.25">
      <c r="A344" s="133" t="s">
        <v>79</v>
      </c>
      <c r="B344" s="139" t="s">
        <v>333</v>
      </c>
      <c r="C344" s="133" t="s">
        <v>81</v>
      </c>
      <c r="D344" s="238">
        <v>23</v>
      </c>
      <c r="E344" s="48">
        <v>0.45</v>
      </c>
      <c r="F344" s="48">
        <v>8</v>
      </c>
      <c r="G344" s="49">
        <f t="shared" si="20"/>
        <v>3.6</v>
      </c>
      <c r="H344" s="48">
        <v>11.06</v>
      </c>
      <c r="I344" s="50">
        <v>0.1</v>
      </c>
      <c r="J344" s="51">
        <f t="shared" si="21"/>
        <v>14.76</v>
      </c>
      <c r="K344" s="52">
        <f t="shared" si="22"/>
        <v>10.35</v>
      </c>
      <c r="L344" s="50">
        <f t="shared" si="27"/>
        <v>107.64</v>
      </c>
      <c r="M344" s="50">
        <f t="shared" si="28"/>
        <v>330.69400000000002</v>
      </c>
      <c r="N344" s="50">
        <f t="shared" si="23"/>
        <v>2.2999999999999998</v>
      </c>
      <c r="O344" s="28">
        <f t="shared" si="24"/>
        <v>440.63400000000001</v>
      </c>
      <c r="P344" s="193"/>
      <c r="Q344" s="214"/>
      <c r="R344" s="214"/>
      <c r="S344" s="214"/>
      <c r="T344" s="214"/>
      <c r="U344" s="214"/>
      <c r="V344" s="214"/>
    </row>
    <row r="345" spans="1:22" ht="31.5">
      <c r="A345" s="133" t="s">
        <v>82</v>
      </c>
      <c r="B345" s="139" t="s">
        <v>334</v>
      </c>
      <c r="C345" s="133" t="s">
        <v>81</v>
      </c>
      <c r="D345" s="238">
        <v>46</v>
      </c>
      <c r="E345" s="48">
        <v>0.45</v>
      </c>
      <c r="F345" s="48">
        <v>8</v>
      </c>
      <c r="G345" s="49">
        <f t="shared" si="20"/>
        <v>3.6</v>
      </c>
      <c r="H345" s="48">
        <v>1.49</v>
      </c>
      <c r="I345" s="50">
        <v>0.1</v>
      </c>
      <c r="J345" s="51">
        <f t="shared" si="21"/>
        <v>5.1899999999999995</v>
      </c>
      <c r="K345" s="52">
        <f t="shared" si="22"/>
        <v>20.7</v>
      </c>
      <c r="L345" s="50">
        <f t="shared" si="27"/>
        <v>215.28</v>
      </c>
      <c r="M345" s="50">
        <f t="shared" si="28"/>
        <v>89.102000000000018</v>
      </c>
      <c r="N345" s="50">
        <f t="shared" si="23"/>
        <v>4.5999999999999996</v>
      </c>
      <c r="O345" s="28">
        <f t="shared" si="24"/>
        <v>308.98200000000003</v>
      </c>
      <c r="P345" s="193"/>
      <c r="Q345" s="214"/>
      <c r="R345" s="214"/>
      <c r="S345" s="214"/>
      <c r="T345" s="214"/>
      <c r="U345" s="214"/>
      <c r="V345" s="214"/>
    </row>
    <row r="346" spans="1:22" ht="31.5">
      <c r="A346" s="133" t="s">
        <v>85</v>
      </c>
      <c r="B346" s="139" t="s">
        <v>335</v>
      </c>
      <c r="C346" s="135" t="s">
        <v>84</v>
      </c>
      <c r="D346" s="238">
        <v>1200</v>
      </c>
      <c r="E346" s="48">
        <v>0.45</v>
      </c>
      <c r="F346" s="48">
        <v>8</v>
      </c>
      <c r="G346" s="49">
        <f t="shared" si="20"/>
        <v>3.6</v>
      </c>
      <c r="H346" s="48">
        <v>0.59</v>
      </c>
      <c r="I346" s="50">
        <v>0.1</v>
      </c>
      <c r="J346" s="51">
        <f t="shared" si="21"/>
        <v>4.29</v>
      </c>
      <c r="K346" s="52">
        <f t="shared" si="22"/>
        <v>540</v>
      </c>
      <c r="L346" s="50">
        <f t="shared" si="27"/>
        <v>5616</v>
      </c>
      <c r="M346" s="50">
        <f t="shared" si="28"/>
        <v>920.4</v>
      </c>
      <c r="N346" s="50">
        <f t="shared" si="23"/>
        <v>120</v>
      </c>
      <c r="O346" s="28">
        <f t="shared" si="24"/>
        <v>6656.4</v>
      </c>
      <c r="P346" s="193"/>
      <c r="Q346" s="214"/>
      <c r="R346" s="214"/>
      <c r="S346" s="214"/>
      <c r="T346" s="214"/>
      <c r="U346" s="214"/>
      <c r="V346" s="214"/>
    </row>
    <row r="347" spans="1:22">
      <c r="A347" s="133" t="s">
        <v>87</v>
      </c>
      <c r="B347" s="139" t="s">
        <v>337</v>
      </c>
      <c r="C347" s="135" t="s">
        <v>84</v>
      </c>
      <c r="D347" s="238">
        <v>170</v>
      </c>
      <c r="E347" s="48">
        <v>0.45</v>
      </c>
      <c r="F347" s="48">
        <v>8</v>
      </c>
      <c r="G347" s="49">
        <f t="shared" si="20"/>
        <v>3.6</v>
      </c>
      <c r="H347" s="48">
        <v>0.13</v>
      </c>
      <c r="I347" s="50">
        <v>0.1</v>
      </c>
      <c r="J347" s="51">
        <f t="shared" si="21"/>
        <v>3.83</v>
      </c>
      <c r="K347" s="52">
        <f t="shared" si="22"/>
        <v>76.5</v>
      </c>
      <c r="L347" s="50">
        <f t="shared" si="27"/>
        <v>795.6</v>
      </c>
      <c r="M347" s="50">
        <f t="shared" si="28"/>
        <v>28.730000000000004</v>
      </c>
      <c r="N347" s="50">
        <f t="shared" si="23"/>
        <v>17</v>
      </c>
      <c r="O347" s="28">
        <f t="shared" si="24"/>
        <v>841.33</v>
      </c>
      <c r="P347" s="193"/>
      <c r="Q347" s="214"/>
      <c r="R347" s="214"/>
      <c r="S347" s="214"/>
      <c r="T347" s="214"/>
      <c r="U347" s="214"/>
      <c r="V347" s="214"/>
    </row>
    <row r="348" spans="1:22">
      <c r="A348" s="133" t="s">
        <v>93</v>
      </c>
      <c r="B348" s="139" t="s">
        <v>319</v>
      </c>
      <c r="C348" s="133" t="s">
        <v>84</v>
      </c>
      <c r="D348" s="238">
        <v>170</v>
      </c>
      <c r="E348" s="48">
        <v>0.45</v>
      </c>
      <c r="F348" s="48">
        <v>8</v>
      </c>
      <c r="G348" s="49">
        <f t="shared" si="20"/>
        <v>3.6</v>
      </c>
      <c r="H348" s="48">
        <v>0.32</v>
      </c>
      <c r="I348" s="50">
        <v>0.1</v>
      </c>
      <c r="J348" s="51">
        <f t="shared" si="21"/>
        <v>4.0199999999999996</v>
      </c>
      <c r="K348" s="52">
        <f t="shared" si="22"/>
        <v>76.5</v>
      </c>
      <c r="L348" s="50">
        <f t="shared" si="27"/>
        <v>795.6</v>
      </c>
      <c r="M348" s="50">
        <f t="shared" si="28"/>
        <v>70.72</v>
      </c>
      <c r="N348" s="50">
        <f t="shared" si="23"/>
        <v>17</v>
      </c>
      <c r="O348" s="28">
        <f t="shared" si="24"/>
        <v>883.32</v>
      </c>
      <c r="P348" s="193"/>
      <c r="Q348" s="214"/>
      <c r="R348" s="214"/>
      <c r="S348" s="214"/>
      <c r="T348" s="214"/>
      <c r="U348" s="214"/>
      <c r="V348" s="214"/>
    </row>
    <row r="349" spans="1:22" ht="31.5">
      <c r="A349" s="133" t="s">
        <v>95</v>
      </c>
      <c r="B349" s="139" t="s">
        <v>320</v>
      </c>
      <c r="C349" s="135" t="s">
        <v>81</v>
      </c>
      <c r="D349" s="238">
        <v>14</v>
      </c>
      <c r="E349" s="48">
        <v>0.45</v>
      </c>
      <c r="F349" s="48">
        <v>8</v>
      </c>
      <c r="G349" s="49">
        <f t="shared" si="20"/>
        <v>3.6</v>
      </c>
      <c r="H349" s="48">
        <v>0.42</v>
      </c>
      <c r="I349" s="50">
        <v>0.1</v>
      </c>
      <c r="J349" s="51">
        <f t="shared" si="21"/>
        <v>4.12</v>
      </c>
      <c r="K349" s="52">
        <f t="shared" si="22"/>
        <v>6.3</v>
      </c>
      <c r="L349" s="50">
        <f t="shared" si="27"/>
        <v>65.52</v>
      </c>
      <c r="M349" s="50">
        <f t="shared" si="28"/>
        <v>7.6440000000000001</v>
      </c>
      <c r="N349" s="50">
        <f t="shared" si="23"/>
        <v>1.4</v>
      </c>
      <c r="O349" s="28">
        <f t="shared" si="24"/>
        <v>74.564000000000007</v>
      </c>
      <c r="P349" s="193"/>
      <c r="Q349" s="214"/>
      <c r="R349" s="214"/>
      <c r="S349" s="214"/>
      <c r="T349" s="214"/>
      <c r="U349" s="214"/>
      <c r="V349" s="214"/>
    </row>
    <row r="350" spans="1:22">
      <c r="A350" s="133" t="s">
        <v>97</v>
      </c>
      <c r="B350" s="139" t="s">
        <v>341</v>
      </c>
      <c r="C350" s="135" t="s">
        <v>81</v>
      </c>
      <c r="D350" s="238">
        <v>1</v>
      </c>
      <c r="E350" s="48">
        <v>0.45</v>
      </c>
      <c r="F350" s="48">
        <v>8</v>
      </c>
      <c r="G350" s="49">
        <f t="shared" si="20"/>
        <v>3.6</v>
      </c>
      <c r="H350" s="48">
        <v>2.78</v>
      </c>
      <c r="I350" s="50">
        <v>0.1</v>
      </c>
      <c r="J350" s="51">
        <f t="shared" si="21"/>
        <v>6.4799999999999995</v>
      </c>
      <c r="K350" s="52">
        <f t="shared" si="22"/>
        <v>0.45</v>
      </c>
      <c r="L350" s="50">
        <f t="shared" si="27"/>
        <v>4.6800000000000006</v>
      </c>
      <c r="M350" s="50">
        <f t="shared" si="28"/>
        <v>3.6139999999999999</v>
      </c>
      <c r="N350" s="50">
        <f t="shared" si="23"/>
        <v>0.1</v>
      </c>
      <c r="O350" s="28">
        <f t="shared" si="24"/>
        <v>8.3940000000000001</v>
      </c>
      <c r="P350" s="193"/>
      <c r="Q350" s="214"/>
      <c r="R350" s="214"/>
      <c r="S350" s="214"/>
      <c r="T350" s="214"/>
      <c r="U350" s="214"/>
      <c r="V350" s="214"/>
    </row>
    <row r="351" spans="1:22" ht="31.5">
      <c r="A351" s="133" t="s">
        <v>99</v>
      </c>
      <c r="B351" s="134" t="s">
        <v>321</v>
      </c>
      <c r="C351" s="135" t="s">
        <v>105</v>
      </c>
      <c r="D351" s="238">
        <v>4</v>
      </c>
      <c r="E351" s="48">
        <v>0.45</v>
      </c>
      <c r="F351" s="48">
        <v>8</v>
      </c>
      <c r="G351" s="49">
        <f t="shared" si="20"/>
        <v>3.6</v>
      </c>
      <c r="H351" s="48">
        <v>26.75</v>
      </c>
      <c r="I351" s="50">
        <v>0.1</v>
      </c>
      <c r="J351" s="51">
        <f t="shared" si="21"/>
        <v>30.450000000000003</v>
      </c>
      <c r="K351" s="52">
        <f t="shared" si="22"/>
        <v>1.8</v>
      </c>
      <c r="L351" s="50">
        <f t="shared" si="27"/>
        <v>18.720000000000002</v>
      </c>
      <c r="M351" s="50">
        <f t="shared" si="28"/>
        <v>139.1</v>
      </c>
      <c r="N351" s="50">
        <f t="shared" si="23"/>
        <v>0.4</v>
      </c>
      <c r="O351" s="28">
        <f t="shared" si="24"/>
        <v>158.22</v>
      </c>
      <c r="P351" s="193"/>
      <c r="Q351" s="214"/>
      <c r="R351" s="214"/>
      <c r="S351" s="214"/>
      <c r="T351" s="214"/>
      <c r="U351" s="214"/>
      <c r="V351" s="214"/>
    </row>
    <row r="352" spans="1:22" ht="31.5">
      <c r="A352" s="150" t="s">
        <v>192</v>
      </c>
      <c r="B352" s="241" t="s">
        <v>342</v>
      </c>
      <c r="C352" s="138" t="s">
        <v>105</v>
      </c>
      <c r="D352" s="238">
        <v>1</v>
      </c>
      <c r="E352" s="48">
        <v>0.45</v>
      </c>
      <c r="F352" s="48">
        <v>8</v>
      </c>
      <c r="G352" s="49">
        <f t="shared" si="20"/>
        <v>3.6</v>
      </c>
      <c r="H352" s="48">
        <v>0</v>
      </c>
      <c r="I352" s="50">
        <v>0.1</v>
      </c>
      <c r="J352" s="51">
        <f t="shared" si="21"/>
        <v>3.7</v>
      </c>
      <c r="K352" s="52">
        <f t="shared" si="22"/>
        <v>0.45</v>
      </c>
      <c r="L352" s="50">
        <f t="shared" si="27"/>
        <v>4.6800000000000006</v>
      </c>
      <c r="M352" s="50">
        <f t="shared" si="28"/>
        <v>0</v>
      </c>
      <c r="N352" s="50">
        <f t="shared" si="23"/>
        <v>0.1</v>
      </c>
      <c r="O352" s="28">
        <f t="shared" si="24"/>
        <v>4.78</v>
      </c>
      <c r="P352" s="193"/>
      <c r="Q352" s="214"/>
      <c r="R352" s="214"/>
      <c r="S352" s="214"/>
      <c r="T352" s="214"/>
      <c r="U352" s="214"/>
      <c r="V352" s="214"/>
    </row>
    <row r="353" spans="1:22" ht="31.5">
      <c r="A353" s="85"/>
      <c r="B353" s="86" t="s">
        <v>421</v>
      </c>
      <c r="C353" s="87"/>
      <c r="D353" s="88"/>
      <c r="E353" s="42"/>
      <c r="F353" s="89"/>
      <c r="G353" s="90"/>
      <c r="H353" s="91"/>
      <c r="I353" s="91"/>
      <c r="J353" s="45"/>
      <c r="K353" s="46"/>
      <c r="L353" s="44"/>
      <c r="M353" s="44"/>
      <c r="N353" s="44"/>
      <c r="O353" s="30"/>
      <c r="P353" s="193"/>
      <c r="Q353" s="214"/>
      <c r="R353" s="214"/>
      <c r="S353" s="214"/>
      <c r="T353" s="214"/>
      <c r="U353" s="214"/>
      <c r="V353" s="214"/>
    </row>
    <row r="354" spans="1:22" ht="31.5">
      <c r="A354" s="249">
        <v>1</v>
      </c>
      <c r="B354" s="255" t="s">
        <v>422</v>
      </c>
      <c r="C354" s="250" t="s">
        <v>105</v>
      </c>
      <c r="D354" s="251">
        <v>1</v>
      </c>
      <c r="E354" s="48"/>
      <c r="F354" s="252"/>
      <c r="G354" s="253">
        <v>3148</v>
      </c>
      <c r="H354" s="254">
        <v>10200</v>
      </c>
      <c r="I354" s="254">
        <v>350</v>
      </c>
      <c r="J354" s="51">
        <f>SUM(G354:I354)</f>
        <v>13698</v>
      </c>
      <c r="K354" s="52"/>
      <c r="L354" s="50">
        <f>G354*D354</f>
        <v>3148</v>
      </c>
      <c r="M354" s="50">
        <f>H354*D354</f>
        <v>10200</v>
      </c>
      <c r="N354" s="50">
        <f>I354*D354</f>
        <v>350</v>
      </c>
      <c r="O354" s="28">
        <f>SUM(L354:N354)</f>
        <v>13698</v>
      </c>
      <c r="P354" s="193"/>
      <c r="Q354" s="214"/>
      <c r="R354" s="214"/>
      <c r="S354" s="214"/>
      <c r="T354" s="214"/>
      <c r="U354" s="214"/>
      <c r="V354" s="214"/>
    </row>
    <row r="355" spans="1:22" ht="31.5">
      <c r="A355" s="92"/>
      <c r="B355" s="68" t="s">
        <v>423</v>
      </c>
      <c r="C355" s="93"/>
      <c r="D355" s="70"/>
      <c r="E355" s="63"/>
      <c r="F355" s="63"/>
      <c r="G355" s="64"/>
      <c r="H355" s="63"/>
      <c r="I355" s="65"/>
      <c r="J355" s="66"/>
      <c r="K355" s="67"/>
      <c r="L355" s="65"/>
      <c r="M355" s="65"/>
      <c r="N355" s="65"/>
      <c r="O355" s="30"/>
      <c r="P355" s="193"/>
      <c r="Q355" s="214"/>
      <c r="R355" s="214"/>
      <c r="S355" s="214"/>
      <c r="T355" s="214"/>
      <c r="U355" s="214"/>
      <c r="V355" s="214"/>
    </row>
    <row r="356" spans="1:22">
      <c r="A356" s="133" t="s">
        <v>39</v>
      </c>
      <c r="B356" s="173" t="s">
        <v>424</v>
      </c>
      <c r="C356" s="176" t="s">
        <v>135</v>
      </c>
      <c r="D356" s="140">
        <v>1</v>
      </c>
      <c r="E356" s="128">
        <v>0</v>
      </c>
      <c r="F356" s="128">
        <v>0</v>
      </c>
      <c r="G356" s="129">
        <v>9000</v>
      </c>
      <c r="H356" s="128">
        <v>16000</v>
      </c>
      <c r="I356" s="130">
        <v>1000</v>
      </c>
      <c r="J356" s="131">
        <f>SUM(G356:I356)</f>
        <v>26000</v>
      </c>
      <c r="K356" s="132">
        <f>ROUND(D356*E356,2)</f>
        <v>0</v>
      </c>
      <c r="L356" s="130">
        <f>ROUND(D356*G356,2)</f>
        <v>9000</v>
      </c>
      <c r="M356" s="130">
        <f>ROUND(D356*H356,2)</f>
        <v>16000</v>
      </c>
      <c r="N356" s="130">
        <f>ROUND(D356*I356,2)</f>
        <v>1000</v>
      </c>
      <c r="O356" s="28">
        <f>SUM(L356:N356)</f>
        <v>26000</v>
      </c>
      <c r="P356" s="193"/>
      <c r="Q356" s="214"/>
      <c r="R356" s="214"/>
      <c r="S356" s="214"/>
      <c r="T356" s="214"/>
      <c r="U356" s="214"/>
      <c r="V356" s="214"/>
    </row>
    <row r="357" spans="1:22" ht="25.5">
      <c r="A357" s="133" t="s">
        <v>71</v>
      </c>
      <c r="B357" s="175" t="s">
        <v>425</v>
      </c>
      <c r="C357" s="176" t="s">
        <v>76</v>
      </c>
      <c r="D357" s="136">
        <v>8500</v>
      </c>
      <c r="E357" s="128">
        <v>0.6</v>
      </c>
      <c r="F357" s="128">
        <v>12</v>
      </c>
      <c r="G357" s="129">
        <f>ROUND(E357*F357,2)</f>
        <v>7.2</v>
      </c>
      <c r="H357" s="128">
        <v>5</v>
      </c>
      <c r="I357" s="130">
        <v>1</v>
      </c>
      <c r="J357" s="131">
        <f>SUM(G357:I357)</f>
        <v>13.2</v>
      </c>
      <c r="K357" s="132">
        <f>ROUND(D357*E357,2)</f>
        <v>5100</v>
      </c>
      <c r="L357" s="130">
        <f>ROUND(D357*G357,2)</f>
        <v>61200</v>
      </c>
      <c r="M357" s="130">
        <f>ROUND(D357*H357,2)</f>
        <v>42500</v>
      </c>
      <c r="N357" s="130">
        <f>ROUND(D357*I357,2)</f>
        <v>8500</v>
      </c>
      <c r="O357" s="28">
        <f>SUM(L357:N357)</f>
        <v>112200</v>
      </c>
      <c r="P357" s="193"/>
      <c r="Q357" s="214"/>
      <c r="R357" s="214"/>
      <c r="S357" s="214"/>
      <c r="T357" s="214"/>
      <c r="U357" s="214"/>
      <c r="V357" s="214"/>
    </row>
    <row r="358" spans="1:22" ht="25.5">
      <c r="A358" s="133" t="s">
        <v>74</v>
      </c>
      <c r="B358" s="175" t="s">
        <v>426</v>
      </c>
      <c r="C358" s="256" t="s">
        <v>76</v>
      </c>
      <c r="D358" s="145">
        <v>8500</v>
      </c>
      <c r="E358" s="257">
        <v>0.6</v>
      </c>
      <c r="F358" s="257">
        <v>12</v>
      </c>
      <c r="G358" s="258">
        <f>ROUND(E358*F358,2)</f>
        <v>7.2</v>
      </c>
      <c r="H358" s="257">
        <v>12</v>
      </c>
      <c r="I358" s="259">
        <v>1</v>
      </c>
      <c r="J358" s="260">
        <f>SUM(G358:I358)</f>
        <v>20.2</v>
      </c>
      <c r="K358" s="261">
        <f>ROUND(D358*E358,2)</f>
        <v>5100</v>
      </c>
      <c r="L358" s="259">
        <f>ROUND(D358*G358,2)</f>
        <v>61200</v>
      </c>
      <c r="M358" s="259">
        <f>ROUND(D358*H358,2)</f>
        <v>102000</v>
      </c>
      <c r="N358" s="259">
        <f>ROUND(D358*I358,2)</f>
        <v>8500</v>
      </c>
      <c r="O358" s="247">
        <f>SUM(L358:N358)</f>
        <v>171700</v>
      </c>
      <c r="P358" s="193"/>
      <c r="Q358" s="214"/>
      <c r="R358" s="214"/>
      <c r="S358" s="214"/>
      <c r="T358" s="214"/>
      <c r="U358" s="214"/>
      <c r="V358" s="214"/>
    </row>
    <row r="359" spans="1:22" ht="31.5">
      <c r="A359" s="85"/>
      <c r="B359" s="86" t="s">
        <v>427</v>
      </c>
      <c r="C359" s="89"/>
      <c r="D359" s="89"/>
      <c r="E359" s="89"/>
      <c r="F359" s="89"/>
      <c r="G359" s="89"/>
      <c r="H359" s="89"/>
      <c r="I359" s="89"/>
      <c r="J359" s="89"/>
      <c r="K359" s="89"/>
      <c r="L359" s="89"/>
      <c r="M359" s="89"/>
      <c r="N359" s="89"/>
      <c r="O359" s="89"/>
      <c r="P359" s="215"/>
      <c r="Q359" s="214"/>
      <c r="R359" s="214"/>
      <c r="S359" s="214"/>
      <c r="T359" s="214"/>
      <c r="U359" s="214"/>
      <c r="V359" s="214"/>
    </row>
    <row r="360" spans="1:22" ht="63">
      <c r="A360" s="262" t="s">
        <v>39</v>
      </c>
      <c r="B360" s="263" t="s">
        <v>428</v>
      </c>
      <c r="C360" s="250" t="s">
        <v>105</v>
      </c>
      <c r="D360" s="236">
        <v>1</v>
      </c>
      <c r="E360" s="48">
        <v>0</v>
      </c>
      <c r="F360" s="264">
        <v>0</v>
      </c>
      <c r="G360" s="265">
        <v>35000</v>
      </c>
      <c r="H360" s="266">
        <v>140000</v>
      </c>
      <c r="I360" s="266">
        <v>5000</v>
      </c>
      <c r="J360" s="50">
        <f>SUM(G360:I360)</f>
        <v>180000</v>
      </c>
      <c r="K360" s="50">
        <v>0</v>
      </c>
      <c r="L360" s="50">
        <f>G360*D360</f>
        <v>35000</v>
      </c>
      <c r="M360" s="50">
        <f>H360*D360</f>
        <v>140000</v>
      </c>
      <c r="N360" s="50">
        <f>I360*D360</f>
        <v>5000</v>
      </c>
      <c r="O360" s="267">
        <f>SUM(L360:N360)</f>
        <v>180000</v>
      </c>
      <c r="P360" s="215"/>
      <c r="Q360" s="214"/>
      <c r="R360" s="214"/>
      <c r="S360" s="214"/>
      <c r="T360" s="214"/>
      <c r="U360" s="214"/>
      <c r="V360" s="214"/>
    </row>
    <row r="361" spans="1:22" ht="31.5">
      <c r="A361" s="92"/>
      <c r="B361" s="68" t="s">
        <v>429</v>
      </c>
      <c r="C361" s="93"/>
      <c r="D361" s="70"/>
      <c r="E361" s="63"/>
      <c r="F361" s="63"/>
      <c r="G361" s="64"/>
      <c r="H361" s="63"/>
      <c r="I361" s="65"/>
      <c r="J361" s="66"/>
      <c r="K361" s="67"/>
      <c r="L361" s="65"/>
      <c r="M361" s="65"/>
      <c r="N361" s="65"/>
      <c r="O361" s="30"/>
      <c r="P361" s="215"/>
      <c r="Q361" s="214"/>
      <c r="R361" s="214"/>
      <c r="S361" s="214"/>
      <c r="T361" s="214"/>
      <c r="U361" s="214"/>
      <c r="V361" s="214"/>
    </row>
    <row r="362" spans="1:22" ht="38.25">
      <c r="A362" s="133" t="s">
        <v>39</v>
      </c>
      <c r="B362" s="173" t="s">
        <v>142</v>
      </c>
      <c r="C362" s="174" t="s">
        <v>143</v>
      </c>
      <c r="D362" s="238">
        <f>4730*0.25</f>
        <v>1182.5</v>
      </c>
      <c r="E362" s="48">
        <v>0.15</v>
      </c>
      <c r="F362" s="48">
        <v>12</v>
      </c>
      <c r="G362" s="49">
        <f t="shared" ref="G362:G368" si="29">ROUND(E362*F362,2)</f>
        <v>1.8</v>
      </c>
      <c r="H362" s="48">
        <v>1.25</v>
      </c>
      <c r="I362" s="50">
        <v>6.5</v>
      </c>
      <c r="J362" s="51">
        <f t="shared" ref="J362:J368" si="30">SUM(G362:I362)</f>
        <v>9.5500000000000007</v>
      </c>
      <c r="K362" s="52">
        <f t="shared" ref="K362:K368" si="31">ROUND(D362*E362,2)</f>
        <v>177.38</v>
      </c>
      <c r="L362" s="50">
        <f t="shared" ref="L362:L368" si="32">ROUND(D362*G362,2)</f>
        <v>2128.5</v>
      </c>
      <c r="M362" s="50">
        <f t="shared" ref="M362:M368" si="33">ROUND(D362*H362,2)</f>
        <v>1478.13</v>
      </c>
      <c r="N362" s="50">
        <f t="shared" ref="N362:N368" si="34">ROUND(D362*I362,2)</f>
        <v>7686.25</v>
      </c>
      <c r="O362" s="28">
        <f t="shared" ref="O362:O368" si="35">SUM(L362:N362)</f>
        <v>11292.880000000001</v>
      </c>
      <c r="P362" s="215"/>
      <c r="Q362" s="214"/>
      <c r="R362" s="214"/>
      <c r="S362" s="214"/>
      <c r="T362" s="214"/>
      <c r="U362" s="214"/>
      <c r="V362" s="214"/>
    </row>
    <row r="363" spans="1:22">
      <c r="A363" s="133" t="s">
        <v>71</v>
      </c>
      <c r="B363" s="175" t="s">
        <v>144</v>
      </c>
      <c r="C363" s="176" t="s">
        <v>76</v>
      </c>
      <c r="D363" s="238">
        <f>5557.75*0.25</f>
        <v>1389.4375</v>
      </c>
      <c r="E363" s="48">
        <v>0.35</v>
      </c>
      <c r="F363" s="48">
        <v>12</v>
      </c>
      <c r="G363" s="49">
        <f t="shared" si="29"/>
        <v>4.2</v>
      </c>
      <c r="H363" s="48">
        <v>0.05</v>
      </c>
      <c r="I363" s="50">
        <v>2.5</v>
      </c>
      <c r="J363" s="51">
        <f t="shared" si="30"/>
        <v>6.75</v>
      </c>
      <c r="K363" s="52">
        <f t="shared" si="31"/>
        <v>486.3</v>
      </c>
      <c r="L363" s="50">
        <f t="shared" si="32"/>
        <v>5835.64</v>
      </c>
      <c r="M363" s="50">
        <f t="shared" si="33"/>
        <v>69.47</v>
      </c>
      <c r="N363" s="50">
        <f t="shared" si="34"/>
        <v>3473.59</v>
      </c>
      <c r="O363" s="28">
        <f t="shared" si="35"/>
        <v>9378.7000000000007</v>
      </c>
      <c r="P363" s="215"/>
      <c r="Q363" s="214"/>
      <c r="R363" s="214"/>
      <c r="S363" s="214"/>
      <c r="T363" s="214"/>
      <c r="U363" s="214"/>
      <c r="V363" s="214"/>
    </row>
    <row r="364" spans="1:22" ht="25.5">
      <c r="A364" s="133" t="s">
        <v>74</v>
      </c>
      <c r="B364" s="175" t="s">
        <v>145</v>
      </c>
      <c r="C364" s="176" t="s">
        <v>76</v>
      </c>
      <c r="D364" s="238">
        <f>1000*0.25</f>
        <v>250</v>
      </c>
      <c r="E364" s="48">
        <v>0.25</v>
      </c>
      <c r="F364" s="48">
        <v>12</v>
      </c>
      <c r="G364" s="49">
        <f t="shared" si="29"/>
        <v>3</v>
      </c>
      <c r="H364" s="48">
        <v>3.45</v>
      </c>
      <c r="I364" s="50">
        <v>1.5</v>
      </c>
      <c r="J364" s="51">
        <f t="shared" si="30"/>
        <v>7.95</v>
      </c>
      <c r="K364" s="52">
        <f t="shared" si="31"/>
        <v>62.5</v>
      </c>
      <c r="L364" s="50">
        <f t="shared" si="32"/>
        <v>750</v>
      </c>
      <c r="M364" s="50">
        <f t="shared" si="33"/>
        <v>862.5</v>
      </c>
      <c r="N364" s="50">
        <f t="shared" si="34"/>
        <v>375</v>
      </c>
      <c r="O364" s="28">
        <f t="shared" si="35"/>
        <v>1987.5</v>
      </c>
      <c r="P364" s="215"/>
      <c r="Q364" s="214"/>
      <c r="R364" s="214"/>
      <c r="S364" s="214"/>
      <c r="T364" s="214"/>
      <c r="U364" s="214"/>
      <c r="V364" s="214"/>
    </row>
    <row r="365" spans="1:22" ht="51">
      <c r="A365" s="133" t="s">
        <v>77</v>
      </c>
      <c r="B365" s="175" t="s">
        <v>146</v>
      </c>
      <c r="C365" s="176" t="s">
        <v>76</v>
      </c>
      <c r="D365" s="239">
        <f>5557.75*0.25</f>
        <v>1389.4375</v>
      </c>
      <c r="E365" s="48">
        <v>0.25</v>
      </c>
      <c r="F365" s="48">
        <v>12</v>
      </c>
      <c r="G365" s="49">
        <f t="shared" si="29"/>
        <v>3</v>
      </c>
      <c r="H365" s="48">
        <v>1.45</v>
      </c>
      <c r="I365" s="50">
        <v>0.95</v>
      </c>
      <c r="J365" s="51">
        <f t="shared" si="30"/>
        <v>5.4</v>
      </c>
      <c r="K365" s="52">
        <f t="shared" si="31"/>
        <v>347.36</v>
      </c>
      <c r="L365" s="50">
        <f t="shared" si="32"/>
        <v>4168.3100000000004</v>
      </c>
      <c r="M365" s="50">
        <f t="shared" si="33"/>
        <v>2014.68</v>
      </c>
      <c r="N365" s="50">
        <f t="shared" si="34"/>
        <v>1319.97</v>
      </c>
      <c r="O365" s="28">
        <f t="shared" si="35"/>
        <v>7502.9600000000009</v>
      </c>
      <c r="P365" s="215"/>
      <c r="Q365" s="214"/>
      <c r="R365" s="214"/>
      <c r="S365" s="214"/>
      <c r="T365" s="214"/>
      <c r="U365" s="214"/>
      <c r="V365" s="214"/>
    </row>
    <row r="366" spans="1:22" ht="38.25">
      <c r="A366" s="133" t="s">
        <v>79</v>
      </c>
      <c r="B366" s="175" t="s">
        <v>147</v>
      </c>
      <c r="C366" s="176" t="s">
        <v>76</v>
      </c>
      <c r="D366" s="239">
        <f>5557.75*0.25</f>
        <v>1389.4375</v>
      </c>
      <c r="E366" s="48">
        <v>1.25</v>
      </c>
      <c r="F366" s="48">
        <v>12</v>
      </c>
      <c r="G366" s="49">
        <f t="shared" si="29"/>
        <v>15</v>
      </c>
      <c r="H366" s="48">
        <v>0.95</v>
      </c>
      <c r="I366" s="50">
        <v>0.45</v>
      </c>
      <c r="J366" s="51">
        <f t="shared" si="30"/>
        <v>16.399999999999999</v>
      </c>
      <c r="K366" s="52">
        <f t="shared" si="31"/>
        <v>1736.8</v>
      </c>
      <c r="L366" s="50">
        <f t="shared" si="32"/>
        <v>20841.560000000001</v>
      </c>
      <c r="M366" s="50">
        <f t="shared" si="33"/>
        <v>1319.97</v>
      </c>
      <c r="N366" s="50">
        <f t="shared" si="34"/>
        <v>625.25</v>
      </c>
      <c r="O366" s="28">
        <f t="shared" si="35"/>
        <v>22786.780000000002</v>
      </c>
      <c r="P366" s="215"/>
      <c r="Q366" s="214"/>
      <c r="R366" s="214"/>
      <c r="S366" s="214"/>
      <c r="T366" s="214"/>
      <c r="U366" s="214"/>
      <c r="V366" s="214"/>
    </row>
    <row r="367" spans="1:22" ht="63.75">
      <c r="A367" s="133" t="s">
        <v>82</v>
      </c>
      <c r="B367" s="175" t="s">
        <v>148</v>
      </c>
      <c r="C367" s="176" t="s">
        <v>76</v>
      </c>
      <c r="D367" s="239">
        <f>827.75*0.25</f>
        <v>206.9375</v>
      </c>
      <c r="E367" s="48">
        <v>1.95</v>
      </c>
      <c r="F367" s="48">
        <v>12</v>
      </c>
      <c r="G367" s="49">
        <f t="shared" si="29"/>
        <v>23.4</v>
      </c>
      <c r="H367" s="48">
        <v>0.95</v>
      </c>
      <c r="I367" s="50">
        <v>0.65</v>
      </c>
      <c r="J367" s="51">
        <f t="shared" si="30"/>
        <v>24.999999999999996</v>
      </c>
      <c r="K367" s="52">
        <f t="shared" si="31"/>
        <v>403.53</v>
      </c>
      <c r="L367" s="50">
        <f t="shared" si="32"/>
        <v>4842.34</v>
      </c>
      <c r="M367" s="50">
        <f t="shared" si="33"/>
        <v>196.59</v>
      </c>
      <c r="N367" s="50">
        <f t="shared" si="34"/>
        <v>134.51</v>
      </c>
      <c r="O367" s="28">
        <f t="shared" si="35"/>
        <v>5173.4400000000005</v>
      </c>
      <c r="P367" s="215"/>
      <c r="Q367" s="214"/>
      <c r="R367" s="214"/>
      <c r="S367" s="214"/>
      <c r="T367" s="214"/>
      <c r="U367" s="214"/>
      <c r="V367" s="214"/>
    </row>
    <row r="368" spans="1:22" ht="51">
      <c r="A368" s="133" t="s">
        <v>85</v>
      </c>
      <c r="B368" s="175" t="s">
        <v>149</v>
      </c>
      <c r="C368" s="176" t="s">
        <v>76</v>
      </c>
      <c r="D368" s="239">
        <f>5557.75*0.25</f>
        <v>1389.4375</v>
      </c>
      <c r="E368" s="48">
        <v>0.95</v>
      </c>
      <c r="F368" s="48">
        <v>12</v>
      </c>
      <c r="G368" s="49">
        <f t="shared" si="29"/>
        <v>11.4</v>
      </c>
      <c r="H368" s="48">
        <v>7.45</v>
      </c>
      <c r="I368" s="50">
        <v>0.45</v>
      </c>
      <c r="J368" s="51">
        <f t="shared" si="30"/>
        <v>19.3</v>
      </c>
      <c r="K368" s="52">
        <f t="shared" si="31"/>
        <v>1319.97</v>
      </c>
      <c r="L368" s="50">
        <f t="shared" si="32"/>
        <v>15839.59</v>
      </c>
      <c r="M368" s="50">
        <f t="shared" si="33"/>
        <v>10351.31</v>
      </c>
      <c r="N368" s="50">
        <f t="shared" si="34"/>
        <v>625.25</v>
      </c>
      <c r="O368" s="28">
        <f t="shared" si="35"/>
        <v>26816.15</v>
      </c>
      <c r="P368" s="215"/>
      <c r="Q368" s="214"/>
      <c r="R368" s="214"/>
      <c r="S368" s="214"/>
      <c r="T368" s="214"/>
      <c r="U368" s="214"/>
      <c r="V368" s="214"/>
    </row>
    <row r="369" spans="1:24">
      <c r="A369" s="35"/>
      <c r="B369" s="33" t="s">
        <v>43</v>
      </c>
      <c r="C369" s="32"/>
      <c r="D369" s="53"/>
      <c r="E369" s="42"/>
      <c r="F369" s="42"/>
      <c r="G369" s="43"/>
      <c r="H369" s="42"/>
      <c r="I369" s="44"/>
      <c r="J369" s="45"/>
      <c r="K369" s="46"/>
      <c r="L369" s="44"/>
      <c r="M369" s="44"/>
      <c r="N369" s="44"/>
      <c r="O369" s="30"/>
      <c r="P369" s="215"/>
      <c r="Q369" s="214"/>
      <c r="R369" s="214"/>
      <c r="S369" s="214"/>
      <c r="T369" s="214"/>
      <c r="U369" s="214"/>
      <c r="V369" s="214"/>
    </row>
    <row r="370" spans="1:24" ht="31.5">
      <c r="A370" s="155">
        <v>3</v>
      </c>
      <c r="B370" s="139" t="s">
        <v>430</v>
      </c>
      <c r="C370" s="141" t="s">
        <v>135</v>
      </c>
      <c r="D370" s="238">
        <v>1</v>
      </c>
      <c r="E370" s="48"/>
      <c r="F370" s="48"/>
      <c r="G370" s="49">
        <v>6000</v>
      </c>
      <c r="H370" s="48">
        <v>0</v>
      </c>
      <c r="I370" s="50">
        <v>0</v>
      </c>
      <c r="J370" s="51">
        <f t="shared" ref="J370:J376" si="36">SUM(G370:I370)</f>
        <v>6000</v>
      </c>
      <c r="K370" s="52">
        <f t="shared" ref="K370:K376" si="37">ROUND(D370*E370,2)</f>
        <v>0</v>
      </c>
      <c r="L370" s="50">
        <f t="shared" ref="L370:L376" si="38">ROUND(D370*G370,2)</f>
        <v>6000</v>
      </c>
      <c r="M370" s="50">
        <f t="shared" ref="M370:M376" si="39">ROUND(D370*H370,2)</f>
        <v>0</v>
      </c>
      <c r="N370" s="50">
        <f t="shared" ref="N370:N376" si="40">ROUND(D370*I370,2)</f>
        <v>0</v>
      </c>
      <c r="O370" s="28">
        <f t="shared" ref="O370:O376" si="41">SUM(L370:N370)</f>
        <v>6000</v>
      </c>
      <c r="P370" s="215">
        <v>0.05</v>
      </c>
      <c r="Q370" s="214">
        <f>ROUND(O370*P370,2)</f>
        <v>300</v>
      </c>
      <c r="R370" s="214">
        <v>0.12</v>
      </c>
      <c r="S370" s="216">
        <f>ROUND(O370*R370,2)</f>
        <v>720</v>
      </c>
      <c r="T370" s="216">
        <f>O370+Q370+S370</f>
        <v>7020</v>
      </c>
      <c r="U370" s="214">
        <v>1.21</v>
      </c>
      <c r="V370" s="198">
        <f>ROUND(T370*U370,2)</f>
        <v>8494.2000000000007</v>
      </c>
      <c r="X370" s="217">
        <f>V370+V376</f>
        <v>36808.199999999997</v>
      </c>
    </row>
    <row r="371" spans="1:24" ht="31.5">
      <c r="A371" s="155">
        <v>4</v>
      </c>
      <c r="B371" s="139" t="s">
        <v>42</v>
      </c>
      <c r="C371" s="141" t="s">
        <v>44</v>
      </c>
      <c r="D371" s="238">
        <v>12</v>
      </c>
      <c r="E371" s="48"/>
      <c r="F371" s="48"/>
      <c r="G371" s="49">
        <v>4900</v>
      </c>
      <c r="H371" s="48">
        <v>0</v>
      </c>
      <c r="I371" s="50">
        <v>0</v>
      </c>
      <c r="J371" s="51">
        <f t="shared" si="36"/>
        <v>4900</v>
      </c>
      <c r="K371" s="52">
        <f t="shared" si="37"/>
        <v>0</v>
      </c>
      <c r="L371" s="50">
        <f t="shared" si="38"/>
        <v>58800</v>
      </c>
      <c r="M371" s="50">
        <f t="shared" si="39"/>
        <v>0</v>
      </c>
      <c r="N371" s="50">
        <f t="shared" si="40"/>
        <v>0</v>
      </c>
      <c r="O371" s="28">
        <f t="shared" si="41"/>
        <v>58800</v>
      </c>
      <c r="P371" s="215">
        <v>0.05</v>
      </c>
      <c r="Q371" s="214">
        <f t="shared" ref="Q371:Q377" si="42">ROUND(O371*P371,2)</f>
        <v>2940</v>
      </c>
      <c r="R371" s="214">
        <v>0.12</v>
      </c>
      <c r="S371" s="216">
        <f t="shared" ref="S371:S377" si="43">ROUND(O371*R371,2)</f>
        <v>7056</v>
      </c>
      <c r="T371" s="216">
        <f t="shared" ref="T371:T377" si="44">O371+Q371+S371</f>
        <v>68796</v>
      </c>
      <c r="U371" s="214">
        <v>1.21</v>
      </c>
      <c r="V371" s="198">
        <f t="shared" ref="V371:V377" si="45">ROUND(T371*U371,2)</f>
        <v>83243.16</v>
      </c>
    </row>
    <row r="372" spans="1:24" ht="31.5">
      <c r="A372" s="155">
        <v>5</v>
      </c>
      <c r="B372" s="139" t="s">
        <v>431</v>
      </c>
      <c r="C372" s="141" t="s">
        <v>44</v>
      </c>
      <c r="D372" s="238">
        <v>12</v>
      </c>
      <c r="E372" s="48"/>
      <c r="F372" s="48"/>
      <c r="G372" s="49">
        <v>3000</v>
      </c>
      <c r="H372" s="48">
        <v>0</v>
      </c>
      <c r="I372" s="50">
        <v>0</v>
      </c>
      <c r="J372" s="51">
        <f t="shared" si="36"/>
        <v>3000</v>
      </c>
      <c r="K372" s="52">
        <f t="shared" si="37"/>
        <v>0</v>
      </c>
      <c r="L372" s="50">
        <f t="shared" si="38"/>
        <v>36000</v>
      </c>
      <c r="M372" s="50">
        <f t="shared" si="39"/>
        <v>0</v>
      </c>
      <c r="N372" s="50">
        <f t="shared" si="40"/>
        <v>0</v>
      </c>
      <c r="O372" s="28">
        <f t="shared" si="41"/>
        <v>36000</v>
      </c>
      <c r="P372" s="215">
        <v>0.05</v>
      </c>
      <c r="Q372" s="214">
        <f t="shared" si="42"/>
        <v>1800</v>
      </c>
      <c r="R372" s="214">
        <v>0.12</v>
      </c>
      <c r="S372" s="216">
        <f t="shared" si="43"/>
        <v>4320</v>
      </c>
      <c r="T372" s="216">
        <f t="shared" si="44"/>
        <v>42120</v>
      </c>
      <c r="U372" s="214">
        <v>1.21</v>
      </c>
      <c r="V372" s="198">
        <f t="shared" si="45"/>
        <v>50965.2</v>
      </c>
      <c r="X372" s="217">
        <f>V372+V373</f>
        <v>66070.720000000001</v>
      </c>
    </row>
    <row r="373" spans="1:24" ht="31.5">
      <c r="A373" s="155">
        <v>6</v>
      </c>
      <c r="B373" s="139" t="s">
        <v>138</v>
      </c>
      <c r="C373" s="141" t="s">
        <v>135</v>
      </c>
      <c r="D373" s="238">
        <v>1</v>
      </c>
      <c r="E373" s="48"/>
      <c r="F373" s="48"/>
      <c r="G373" s="49">
        <v>10670</v>
      </c>
      <c r="H373" s="48">
        <v>0</v>
      </c>
      <c r="I373" s="50">
        <v>0</v>
      </c>
      <c r="J373" s="51">
        <f t="shared" si="36"/>
        <v>10670</v>
      </c>
      <c r="K373" s="52">
        <f t="shared" si="37"/>
        <v>0</v>
      </c>
      <c r="L373" s="50">
        <f t="shared" si="38"/>
        <v>10670</v>
      </c>
      <c r="M373" s="50">
        <f t="shared" si="39"/>
        <v>0</v>
      </c>
      <c r="N373" s="50">
        <f t="shared" si="40"/>
        <v>0</v>
      </c>
      <c r="O373" s="28">
        <f t="shared" si="41"/>
        <v>10670</v>
      </c>
      <c r="P373" s="215">
        <v>0.05</v>
      </c>
      <c r="Q373" s="214">
        <f t="shared" si="42"/>
        <v>533.5</v>
      </c>
      <c r="R373" s="214">
        <v>0.12</v>
      </c>
      <c r="S373" s="216">
        <f t="shared" si="43"/>
        <v>1280.4000000000001</v>
      </c>
      <c r="T373" s="216">
        <f t="shared" si="44"/>
        <v>12483.9</v>
      </c>
      <c r="U373" s="214">
        <v>1.21</v>
      </c>
      <c r="V373" s="198">
        <f t="shared" si="45"/>
        <v>15105.52</v>
      </c>
    </row>
    <row r="374" spans="1:24" ht="31.5">
      <c r="A374" s="155">
        <v>7</v>
      </c>
      <c r="B374" s="139" t="s">
        <v>139</v>
      </c>
      <c r="C374" s="141" t="s">
        <v>135</v>
      </c>
      <c r="D374" s="238">
        <v>1</v>
      </c>
      <c r="E374" s="48"/>
      <c r="F374" s="48"/>
      <c r="G374" s="49">
        <v>4500</v>
      </c>
      <c r="H374" s="48">
        <v>0</v>
      </c>
      <c r="I374" s="50">
        <v>0</v>
      </c>
      <c r="J374" s="51">
        <f t="shared" si="36"/>
        <v>4500</v>
      </c>
      <c r="K374" s="52">
        <f t="shared" si="37"/>
        <v>0</v>
      </c>
      <c r="L374" s="50">
        <f t="shared" si="38"/>
        <v>4500</v>
      </c>
      <c r="M374" s="50">
        <f t="shared" si="39"/>
        <v>0</v>
      </c>
      <c r="N374" s="50">
        <f t="shared" si="40"/>
        <v>0</v>
      </c>
      <c r="O374" s="28">
        <f t="shared" si="41"/>
        <v>4500</v>
      </c>
      <c r="P374" s="215">
        <v>0.05</v>
      </c>
      <c r="Q374" s="214">
        <f t="shared" si="42"/>
        <v>225</v>
      </c>
      <c r="R374" s="214">
        <v>0.12</v>
      </c>
      <c r="S374" s="216">
        <f t="shared" si="43"/>
        <v>540</v>
      </c>
      <c r="T374" s="216">
        <f t="shared" si="44"/>
        <v>5265</v>
      </c>
      <c r="U374" s="214">
        <v>1.21</v>
      </c>
      <c r="V374" s="198">
        <f t="shared" si="45"/>
        <v>6370.65</v>
      </c>
      <c r="X374" s="161">
        <f>V374+V375</f>
        <v>24774.75</v>
      </c>
    </row>
    <row r="375" spans="1:24" ht="31.5">
      <c r="A375" s="155">
        <v>8</v>
      </c>
      <c r="B375" s="139" t="s">
        <v>174</v>
      </c>
      <c r="C375" s="141" t="s">
        <v>135</v>
      </c>
      <c r="D375" s="238">
        <v>1</v>
      </c>
      <c r="E375" s="48"/>
      <c r="F375" s="48"/>
      <c r="G375" s="49">
        <v>13000</v>
      </c>
      <c r="H375" s="48">
        <v>0</v>
      </c>
      <c r="I375" s="50">
        <v>0</v>
      </c>
      <c r="J375" s="51">
        <f>SUM(G375:I375)</f>
        <v>13000</v>
      </c>
      <c r="K375" s="52">
        <f t="shared" si="37"/>
        <v>0</v>
      </c>
      <c r="L375" s="50">
        <f t="shared" si="38"/>
        <v>13000</v>
      </c>
      <c r="M375" s="50">
        <f t="shared" si="39"/>
        <v>0</v>
      </c>
      <c r="N375" s="50">
        <f t="shared" si="40"/>
        <v>0</v>
      </c>
      <c r="O375" s="28">
        <f t="shared" si="41"/>
        <v>13000</v>
      </c>
      <c r="P375" s="215">
        <v>0.05</v>
      </c>
      <c r="Q375" s="214">
        <f t="shared" si="42"/>
        <v>650</v>
      </c>
      <c r="R375" s="214">
        <v>0.12</v>
      </c>
      <c r="S375" s="216">
        <f t="shared" si="43"/>
        <v>1560</v>
      </c>
      <c r="T375" s="216">
        <f t="shared" si="44"/>
        <v>15210</v>
      </c>
      <c r="U375" s="214">
        <v>1.21</v>
      </c>
      <c r="V375" s="198">
        <f t="shared" si="45"/>
        <v>18404.099999999999</v>
      </c>
    </row>
    <row r="376" spans="1:24" ht="31.5">
      <c r="A376" s="155">
        <v>9</v>
      </c>
      <c r="B376" s="139" t="s">
        <v>432</v>
      </c>
      <c r="C376" s="135" t="s">
        <v>135</v>
      </c>
      <c r="D376" s="238">
        <v>1</v>
      </c>
      <c r="E376" s="48"/>
      <c r="F376" s="48"/>
      <c r="G376" s="49">
        <v>20000</v>
      </c>
      <c r="H376" s="48">
        <v>0</v>
      </c>
      <c r="I376" s="50">
        <v>0</v>
      </c>
      <c r="J376" s="51">
        <f t="shared" si="36"/>
        <v>20000</v>
      </c>
      <c r="K376" s="52">
        <f t="shared" si="37"/>
        <v>0</v>
      </c>
      <c r="L376" s="50">
        <f t="shared" si="38"/>
        <v>20000</v>
      </c>
      <c r="M376" s="50">
        <f t="shared" si="39"/>
        <v>0</v>
      </c>
      <c r="N376" s="50">
        <f t="shared" si="40"/>
        <v>0</v>
      </c>
      <c r="O376" s="28">
        <f t="shared" si="41"/>
        <v>20000</v>
      </c>
      <c r="P376" s="215">
        <v>0.05</v>
      </c>
      <c r="Q376" s="214">
        <f t="shared" si="42"/>
        <v>1000</v>
      </c>
      <c r="R376" s="214">
        <v>0.12</v>
      </c>
      <c r="S376" s="216">
        <f t="shared" si="43"/>
        <v>2400</v>
      </c>
      <c r="T376" s="216">
        <f t="shared" si="44"/>
        <v>23400</v>
      </c>
      <c r="U376" s="214">
        <v>1.21</v>
      </c>
      <c r="V376" s="198">
        <f t="shared" si="45"/>
        <v>28314</v>
      </c>
    </row>
    <row r="377" spans="1:24">
      <c r="A377" s="382" t="s">
        <v>19</v>
      </c>
      <c r="B377" s="382"/>
      <c r="C377" s="382"/>
      <c r="D377" s="382"/>
      <c r="E377" s="382"/>
      <c r="F377" s="382"/>
      <c r="G377" s="382"/>
      <c r="H377" s="382"/>
      <c r="I377" s="382"/>
      <c r="J377" s="382"/>
      <c r="K377" s="34">
        <f>SUM(K14:K376)</f>
        <v>36262.58</v>
      </c>
      <c r="L377" s="34">
        <f>SUM(L14:L376)</f>
        <v>596822.84000000008</v>
      </c>
      <c r="M377" s="34">
        <f>SUM(M14:M376)</f>
        <v>509028.3609999998</v>
      </c>
      <c r="N377" s="34">
        <f>SUM(N14:N376)</f>
        <v>43033.470000000008</v>
      </c>
      <c r="O377" s="34">
        <f>SUM(O14:O376)</f>
        <v>1148493.0230000005</v>
      </c>
      <c r="P377" s="215">
        <v>0.05</v>
      </c>
      <c r="Q377" s="214">
        <f t="shared" si="42"/>
        <v>57424.65</v>
      </c>
      <c r="R377" s="214">
        <v>0.12</v>
      </c>
      <c r="S377" s="216">
        <f t="shared" si="43"/>
        <v>137819.16</v>
      </c>
      <c r="T377" s="216">
        <f t="shared" si="44"/>
        <v>1343736.8330000003</v>
      </c>
      <c r="U377" s="214">
        <v>1.21</v>
      </c>
      <c r="V377" s="198">
        <f t="shared" si="45"/>
        <v>1625921.57</v>
      </c>
    </row>
    <row r="378" spans="1:24">
      <c r="A378" s="211"/>
      <c r="B378" s="218"/>
      <c r="C378" s="219"/>
      <c r="D378" s="220"/>
      <c r="E378" s="221"/>
      <c r="F378" s="221"/>
      <c r="G378" s="221"/>
      <c r="H378" s="221"/>
      <c r="I378" s="222"/>
      <c r="J378" s="221"/>
      <c r="K378" s="223"/>
      <c r="L378" s="223"/>
      <c r="M378" s="223"/>
      <c r="N378" s="223"/>
      <c r="O378" s="223"/>
    </row>
    <row r="379" spans="1:24">
      <c r="A379" s="224"/>
      <c r="B379" s="225"/>
      <c r="C379" s="210"/>
      <c r="D379" s="211"/>
      <c r="E379" s="211"/>
      <c r="F379" s="211"/>
      <c r="G379" s="226"/>
      <c r="I379" s="211"/>
      <c r="J379" s="211"/>
      <c r="K379" s="211"/>
      <c r="L379" s="211"/>
      <c r="M379" s="211"/>
      <c r="N379" s="211"/>
      <c r="O379" s="211"/>
      <c r="V379" s="217">
        <f>V377-X370-X372-X374</f>
        <v>1498267.9000000001</v>
      </c>
    </row>
    <row r="380" spans="1:24">
      <c r="A380" s="209"/>
      <c r="B380" s="225"/>
      <c r="C380" s="210"/>
      <c r="D380" s="211"/>
      <c r="E380" s="211"/>
      <c r="F380" s="211"/>
      <c r="G380" s="226"/>
      <c r="H380" s="383"/>
      <c r="I380" s="383"/>
      <c r="J380" s="211"/>
      <c r="K380" s="211"/>
      <c r="L380" s="211"/>
      <c r="M380" s="211"/>
      <c r="N380" s="211"/>
      <c r="O380" s="211"/>
    </row>
    <row r="381" spans="1:24">
      <c r="A381" s="381"/>
      <c r="B381" s="381"/>
      <c r="C381" s="210"/>
      <c r="D381" s="211"/>
      <c r="E381" s="211"/>
      <c r="F381" s="211"/>
      <c r="G381" s="211"/>
      <c r="H381" s="211"/>
      <c r="I381" s="211"/>
      <c r="J381" s="211"/>
      <c r="K381" s="211"/>
      <c r="L381" s="211"/>
      <c r="M381" s="211"/>
      <c r="N381" s="211"/>
      <c r="O381" s="211"/>
    </row>
    <row r="382" spans="1:24">
      <c r="A382" s="209"/>
      <c r="B382" s="225"/>
      <c r="C382" s="210"/>
      <c r="D382" s="211"/>
      <c r="E382" s="211"/>
      <c r="F382" s="211"/>
      <c r="G382" s="226"/>
      <c r="H382" s="211"/>
      <c r="I382" s="211"/>
      <c r="J382" s="211"/>
      <c r="K382" s="211"/>
      <c r="L382" s="211"/>
      <c r="M382" s="211"/>
      <c r="N382" s="211"/>
      <c r="O382" s="211"/>
    </row>
    <row r="383" spans="1:24">
      <c r="A383" s="224"/>
      <c r="B383" s="225"/>
      <c r="C383" s="210"/>
      <c r="D383" s="211"/>
      <c r="E383" s="211"/>
      <c r="F383" s="211"/>
      <c r="G383" s="211"/>
      <c r="H383" s="381"/>
      <c r="I383" s="381"/>
      <c r="J383" s="211"/>
      <c r="K383" s="211"/>
      <c r="L383" s="211"/>
      <c r="M383" s="211"/>
      <c r="N383" s="211"/>
      <c r="O383" s="211"/>
    </row>
    <row r="384" spans="1:24">
      <c r="A384" s="209"/>
      <c r="B384" s="225"/>
      <c r="C384" s="210"/>
      <c r="D384" s="211"/>
      <c r="E384" s="211"/>
      <c r="F384" s="211"/>
      <c r="G384" s="226"/>
      <c r="H384" s="383"/>
      <c r="I384" s="383"/>
      <c r="J384" s="211"/>
      <c r="K384" s="211"/>
      <c r="L384" s="211"/>
      <c r="M384" s="211"/>
      <c r="N384" s="211"/>
      <c r="O384" s="211"/>
    </row>
    <row r="385" spans="1:15">
      <c r="A385" s="381"/>
      <c r="B385" s="381"/>
      <c r="C385" s="210"/>
      <c r="D385" s="211"/>
      <c r="E385" s="211"/>
      <c r="F385" s="211"/>
      <c r="G385" s="211"/>
      <c r="H385" s="211"/>
      <c r="I385" s="211"/>
      <c r="J385" s="211"/>
      <c r="K385" s="211"/>
      <c r="L385" s="211"/>
      <c r="M385" s="211"/>
      <c r="N385" s="211"/>
      <c r="O385" s="211"/>
    </row>
  </sheetData>
  <mergeCells count="20">
    <mergeCell ref="A1:N1"/>
    <mergeCell ref="A2:N2"/>
    <mergeCell ref="A4:B4"/>
    <mergeCell ref="C4:L4"/>
    <mergeCell ref="A5:B5"/>
    <mergeCell ref="C5:L5"/>
    <mergeCell ref="A6:B6"/>
    <mergeCell ref="C6:L6"/>
    <mergeCell ref="A10:A11"/>
    <mergeCell ref="B10:B11"/>
    <mergeCell ref="C10:C11"/>
    <mergeCell ref="D10:D11"/>
    <mergeCell ref="E10:J10"/>
    <mergeCell ref="K10:O10"/>
    <mergeCell ref="A385:B385"/>
    <mergeCell ref="A377:J377"/>
    <mergeCell ref="H380:I380"/>
    <mergeCell ref="A381:B381"/>
    <mergeCell ref="H383:I383"/>
    <mergeCell ref="H384:I384"/>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X48"/>
  <sheetViews>
    <sheetView topLeftCell="A25" zoomScale="50" zoomScaleNormal="50" workbookViewId="0">
      <selection activeCell="P29" sqref="P29"/>
    </sheetView>
  </sheetViews>
  <sheetFormatPr defaultColWidth="9.140625" defaultRowHeight="15.75"/>
  <cols>
    <col min="1" max="1" width="5.7109375" style="227" customWidth="1"/>
    <col min="2" max="2" width="34.85546875" style="210" customWidth="1"/>
    <col min="3" max="3" width="6.28515625" style="209" customWidth="1"/>
    <col min="4" max="4" width="11.42578125" style="209" customWidth="1"/>
    <col min="5" max="5" width="9.5703125" style="228" customWidth="1"/>
    <col min="6" max="6" width="7.28515625" style="210" customWidth="1"/>
    <col min="7" max="7" width="10.85546875" style="210" customWidth="1"/>
    <col min="8" max="8" width="11.85546875" style="210" customWidth="1"/>
    <col min="9" max="9" width="10.7109375" style="210" customWidth="1"/>
    <col min="10" max="10" width="12.28515625" style="210" customWidth="1"/>
    <col min="11" max="11" width="11.42578125" style="210" customWidth="1"/>
    <col min="12" max="12" width="13.7109375" style="210" customWidth="1"/>
    <col min="13" max="13" width="13.140625" style="210" customWidth="1"/>
    <col min="14" max="14" width="10.5703125" style="210" customWidth="1"/>
    <col min="15" max="15" width="12" style="210" customWidth="1"/>
    <col min="16" max="19" width="9.140625" style="210"/>
    <col min="20" max="20" width="10.85546875" style="210" customWidth="1"/>
    <col min="21" max="21" width="9.140625" style="210"/>
    <col min="22" max="22" width="16.7109375" style="210" customWidth="1"/>
    <col min="23" max="23" width="9.140625" style="210"/>
    <col min="24" max="24" width="15.42578125" style="210" customWidth="1"/>
    <col min="25" max="16384" width="9.140625" style="210"/>
  </cols>
  <sheetData>
    <row r="1" spans="1:22" s="207" customFormat="1" ht="16.5" thickBot="1">
      <c r="A1" s="380" t="s">
        <v>64</v>
      </c>
      <c r="B1" s="380"/>
      <c r="C1" s="380"/>
      <c r="D1" s="380"/>
      <c r="E1" s="380"/>
      <c r="F1" s="380"/>
      <c r="G1" s="380"/>
      <c r="H1" s="380"/>
      <c r="I1" s="380"/>
      <c r="J1" s="380"/>
      <c r="K1" s="380"/>
      <c r="L1" s="380"/>
      <c r="M1" s="380"/>
      <c r="N1" s="380"/>
      <c r="O1" s="20"/>
    </row>
    <row r="2" spans="1:22" s="207" customFormat="1" ht="16.5" customHeight="1" thickTop="1">
      <c r="A2" s="375" t="s">
        <v>45</v>
      </c>
      <c r="B2" s="375"/>
      <c r="C2" s="375"/>
      <c r="D2" s="375"/>
      <c r="E2" s="375"/>
      <c r="F2" s="375"/>
      <c r="G2" s="375"/>
      <c r="H2" s="375"/>
      <c r="I2" s="375"/>
      <c r="J2" s="375"/>
      <c r="K2" s="375"/>
      <c r="L2" s="375"/>
      <c r="M2" s="375"/>
      <c r="N2" s="375"/>
      <c r="O2" s="20"/>
    </row>
    <row r="3" spans="1:22">
      <c r="A3" s="229"/>
      <c r="B3" s="230"/>
      <c r="C3" s="230"/>
      <c r="D3" s="230"/>
      <c r="E3" s="27"/>
      <c r="F3" s="27"/>
      <c r="G3" s="27"/>
      <c r="H3" s="27"/>
      <c r="I3" s="27"/>
      <c r="J3" s="27"/>
      <c r="K3" s="27"/>
      <c r="L3" s="27"/>
      <c r="M3" s="27"/>
      <c r="N3" s="27"/>
      <c r="O3" s="27"/>
    </row>
    <row r="4" spans="1:22">
      <c r="A4" s="387" t="s">
        <v>4</v>
      </c>
      <c r="B4" s="387"/>
      <c r="C4" s="384" t="s">
        <v>40</v>
      </c>
      <c r="D4" s="384"/>
      <c r="E4" s="384"/>
      <c r="F4" s="384"/>
      <c r="G4" s="384"/>
      <c r="H4" s="384"/>
      <c r="I4" s="384"/>
      <c r="J4" s="384"/>
      <c r="K4" s="384"/>
      <c r="L4" s="384"/>
      <c r="M4" s="27"/>
      <c r="N4" s="27"/>
      <c r="O4" s="27"/>
    </row>
    <row r="5" spans="1:22">
      <c r="A5" s="387" t="s">
        <v>5</v>
      </c>
      <c r="B5" s="387"/>
      <c r="C5" s="384" t="s">
        <v>41</v>
      </c>
      <c r="D5" s="384"/>
      <c r="E5" s="384"/>
      <c r="F5" s="384"/>
      <c r="G5" s="384"/>
      <c r="H5" s="384"/>
      <c r="I5" s="384"/>
      <c r="J5" s="384"/>
      <c r="K5" s="384"/>
      <c r="L5" s="384"/>
      <c r="M5" s="27"/>
      <c r="N5" s="27"/>
      <c r="O5" s="27"/>
    </row>
    <row r="6" spans="1:22">
      <c r="A6" s="384"/>
      <c r="B6" s="384"/>
      <c r="C6" s="384"/>
      <c r="D6" s="384"/>
      <c r="E6" s="384"/>
      <c r="F6" s="384"/>
      <c r="G6" s="384"/>
      <c r="H6" s="384"/>
      <c r="I6" s="384"/>
      <c r="J6" s="384"/>
      <c r="K6" s="384"/>
      <c r="L6" s="384"/>
      <c r="M6" s="27"/>
      <c r="N6" s="27"/>
      <c r="O6" s="27"/>
    </row>
    <row r="7" spans="1:22" s="207" customFormat="1">
      <c r="A7" s="231"/>
      <c r="B7" s="232"/>
      <c r="C7" s="232"/>
      <c r="D7" s="232"/>
      <c r="E7" s="232"/>
      <c r="F7" s="232"/>
      <c r="G7" s="232"/>
      <c r="H7" s="20"/>
      <c r="I7" s="20"/>
      <c r="J7" s="20"/>
      <c r="K7" s="20"/>
      <c r="L7" s="20"/>
      <c r="M7" s="20"/>
      <c r="N7" s="20"/>
      <c r="O7" s="20"/>
    </row>
    <row r="8" spans="1:22" s="207" customFormat="1">
      <c r="A8" s="20"/>
      <c r="B8" s="22"/>
      <c r="C8" s="22"/>
      <c r="D8" s="22"/>
      <c r="E8" s="20"/>
      <c r="F8" s="20"/>
      <c r="G8" s="20"/>
      <c r="H8" s="20"/>
      <c r="I8" s="20"/>
      <c r="J8" s="20"/>
      <c r="K8" s="233" t="s">
        <v>6</v>
      </c>
      <c r="L8" s="24">
        <f>O40</f>
        <v>816614.88</v>
      </c>
      <c r="M8" s="234" t="s">
        <v>7</v>
      </c>
      <c r="N8" s="20"/>
      <c r="O8" s="20"/>
    </row>
    <row r="9" spans="1:22" s="207" customFormat="1">
      <c r="A9" s="20"/>
      <c r="B9" s="22"/>
      <c r="C9" s="22"/>
      <c r="D9" s="22"/>
      <c r="E9" s="20"/>
      <c r="F9" s="20"/>
      <c r="G9" s="20"/>
      <c r="H9" s="20"/>
      <c r="I9" s="20"/>
      <c r="J9" s="20"/>
      <c r="K9" s="233"/>
      <c r="L9" s="20"/>
      <c r="M9" s="234"/>
      <c r="N9" s="20"/>
      <c r="O9" s="20"/>
    </row>
    <row r="10" spans="1:22" ht="12.75" customHeight="1">
      <c r="A10" s="372" t="s">
        <v>8</v>
      </c>
      <c r="B10" s="373" t="s">
        <v>1</v>
      </c>
      <c r="C10" s="372" t="s">
        <v>2</v>
      </c>
      <c r="D10" s="372" t="s">
        <v>3</v>
      </c>
      <c r="E10" s="373" t="s">
        <v>9</v>
      </c>
      <c r="F10" s="373"/>
      <c r="G10" s="373"/>
      <c r="H10" s="373"/>
      <c r="I10" s="373"/>
      <c r="J10" s="373"/>
      <c r="K10" s="373" t="s">
        <v>10</v>
      </c>
      <c r="L10" s="373"/>
      <c r="M10" s="373"/>
      <c r="N10" s="373"/>
      <c r="O10" s="373"/>
      <c r="P10" s="161"/>
    </row>
    <row r="11" spans="1:22" ht="82.5">
      <c r="A11" s="385"/>
      <c r="B11" s="386"/>
      <c r="C11" s="385"/>
      <c r="D11" s="385"/>
      <c r="E11" s="38" t="s">
        <v>11</v>
      </c>
      <c r="F11" s="105" t="s">
        <v>12</v>
      </c>
      <c r="G11" s="105" t="s">
        <v>17</v>
      </c>
      <c r="H11" s="105" t="s">
        <v>13</v>
      </c>
      <c r="I11" s="105" t="s">
        <v>14</v>
      </c>
      <c r="J11" s="105" t="s">
        <v>15</v>
      </c>
      <c r="K11" s="105" t="s">
        <v>16</v>
      </c>
      <c r="L11" s="105" t="s">
        <v>17</v>
      </c>
      <c r="M11" s="105" t="s">
        <v>13</v>
      </c>
      <c r="N11" s="105" t="s">
        <v>14</v>
      </c>
      <c r="O11" s="105" t="s">
        <v>18</v>
      </c>
      <c r="P11" s="286"/>
      <c r="Q11" s="213" t="s">
        <v>470</v>
      </c>
      <c r="R11" s="213"/>
      <c r="S11" s="213" t="s">
        <v>469</v>
      </c>
      <c r="T11" s="213" t="s">
        <v>473</v>
      </c>
      <c r="U11" s="213"/>
      <c r="V11" s="213" t="s">
        <v>38</v>
      </c>
    </row>
    <row r="12" spans="1:22" ht="47.25">
      <c r="A12" s="39"/>
      <c r="B12" s="40" t="s">
        <v>433</v>
      </c>
      <c r="C12" s="39"/>
      <c r="D12" s="41"/>
      <c r="E12" s="42"/>
      <c r="F12" s="42"/>
      <c r="G12" s="43"/>
      <c r="H12" s="42"/>
      <c r="I12" s="44"/>
      <c r="J12" s="45"/>
      <c r="K12" s="46"/>
      <c r="L12" s="44"/>
      <c r="M12" s="44"/>
      <c r="N12" s="44"/>
      <c r="O12" s="30"/>
      <c r="P12" s="193"/>
      <c r="Q12" s="214"/>
      <c r="R12" s="214"/>
      <c r="S12" s="214"/>
      <c r="T12" s="214"/>
      <c r="U12" s="214"/>
      <c r="V12" s="214"/>
    </row>
    <row r="13" spans="1:22">
      <c r="A13" s="36" t="s">
        <v>39</v>
      </c>
      <c r="B13" s="181" t="s">
        <v>47</v>
      </c>
      <c r="C13" s="182" t="s">
        <v>48</v>
      </c>
      <c r="D13" s="237">
        <v>1</v>
      </c>
      <c r="E13" s="48">
        <v>0</v>
      </c>
      <c r="F13" s="48">
        <v>0</v>
      </c>
      <c r="G13" s="49">
        <f>((4800+32840)/0.7028*1.3)+3450</f>
        <v>73074.359704040995</v>
      </c>
      <c r="H13" s="48">
        <f>(18600/0.7028*1.3)+6400</f>
        <v>40805.236198064886</v>
      </c>
      <c r="I13" s="50">
        <f>(600/0.7028*1.3)+56230</f>
        <v>57339.846328969834</v>
      </c>
      <c r="J13" s="51">
        <f>SUM(G13:I13)</f>
        <v>171219.44223107572</v>
      </c>
      <c r="K13" s="52">
        <f>ROUND(D13*E13,2)</f>
        <v>0</v>
      </c>
      <c r="L13" s="50">
        <f>ROUND(D13*G13,2)</f>
        <v>73074.36</v>
      </c>
      <c r="M13" s="50">
        <f>ROUND(D13*H13,2)</f>
        <v>40805.24</v>
      </c>
      <c r="N13" s="50">
        <f>ROUND(D13*I13,2)</f>
        <v>57339.85</v>
      </c>
      <c r="O13" s="28">
        <f>SUM(L13:N13)</f>
        <v>171219.45</v>
      </c>
      <c r="P13" s="193"/>
      <c r="Q13" s="214"/>
      <c r="R13" s="214"/>
      <c r="S13" s="214"/>
      <c r="T13" s="214"/>
      <c r="U13" s="214"/>
      <c r="V13" s="214"/>
    </row>
    <row r="14" spans="1:22">
      <c r="A14" s="39"/>
      <c r="B14" s="40" t="s">
        <v>434</v>
      </c>
      <c r="C14" s="39"/>
      <c r="D14" s="41"/>
      <c r="E14" s="42"/>
      <c r="F14" s="42"/>
      <c r="G14" s="43"/>
      <c r="H14" s="42"/>
      <c r="I14" s="44"/>
      <c r="J14" s="45"/>
      <c r="K14" s="46"/>
      <c r="L14" s="44"/>
      <c r="M14" s="44"/>
      <c r="N14" s="44"/>
      <c r="O14" s="30"/>
      <c r="P14" s="193"/>
      <c r="Q14" s="214"/>
      <c r="R14" s="214"/>
      <c r="S14" s="214"/>
      <c r="T14" s="214"/>
      <c r="U14" s="214"/>
      <c r="V14" s="214"/>
    </row>
    <row r="15" spans="1:22">
      <c r="A15" s="36">
        <v>1</v>
      </c>
      <c r="B15" s="181" t="s">
        <v>47</v>
      </c>
      <c r="C15" s="182" t="s">
        <v>48</v>
      </c>
      <c r="D15" s="237">
        <v>1</v>
      </c>
      <c r="E15" s="48">
        <v>0</v>
      </c>
      <c r="F15" s="48">
        <v>0</v>
      </c>
      <c r="G15" s="49">
        <f>(26000/0.7028*1.3)+3450</f>
        <v>51543.340922026189</v>
      </c>
      <c r="H15" s="48">
        <f>((5700+2600)/0.7028*1.3)+6400</f>
        <v>21752.874217416051</v>
      </c>
      <c r="I15" s="50">
        <f>(110/0.7028*1.3)+56230</f>
        <v>56433.471826977802</v>
      </c>
      <c r="J15" s="51">
        <f>SUM(G15:I15)</f>
        <v>129729.68696642003</v>
      </c>
      <c r="K15" s="52">
        <f>ROUND(D15*E15,2)</f>
        <v>0</v>
      </c>
      <c r="L15" s="50">
        <f>ROUND(D15*G15,2)</f>
        <v>51543.34</v>
      </c>
      <c r="M15" s="50">
        <f>ROUND(D15*H15,2)</f>
        <v>21752.87</v>
      </c>
      <c r="N15" s="50">
        <f>ROUND(D15*I15,2)</f>
        <v>56433.47</v>
      </c>
      <c r="O15" s="28">
        <f>SUM(L15:N15)</f>
        <v>129729.68</v>
      </c>
      <c r="P15" s="193"/>
      <c r="Q15" s="214"/>
      <c r="R15" s="214"/>
      <c r="S15" s="214"/>
      <c r="T15" s="214"/>
      <c r="U15" s="214"/>
      <c r="V15" s="214"/>
    </row>
    <row r="16" spans="1:22" ht="31.5">
      <c r="A16" s="36">
        <v>2</v>
      </c>
      <c r="B16" s="181" t="s">
        <v>463</v>
      </c>
      <c r="C16" s="182" t="s">
        <v>48</v>
      </c>
      <c r="D16" s="237">
        <v>1</v>
      </c>
      <c r="E16" s="48">
        <v>0</v>
      </c>
      <c r="F16" s="48">
        <v>0</v>
      </c>
      <c r="G16" s="49">
        <v>17000</v>
      </c>
      <c r="H16" s="48">
        <v>20000</v>
      </c>
      <c r="I16" s="50">
        <v>200</v>
      </c>
      <c r="J16" s="51">
        <f>SUM(G16:I16)</f>
        <v>37200</v>
      </c>
      <c r="K16" s="52">
        <f>ROUND(D16*E16,2)</f>
        <v>0</v>
      </c>
      <c r="L16" s="50">
        <f>ROUND(D16*G16,2)</f>
        <v>17000</v>
      </c>
      <c r="M16" s="50">
        <f>ROUND(D16*H16,2)</f>
        <v>20000</v>
      </c>
      <c r="N16" s="50">
        <f>ROUND(D16*I16,2)</f>
        <v>200</v>
      </c>
      <c r="O16" s="28">
        <f>SUM(L16:N16)</f>
        <v>37200</v>
      </c>
      <c r="P16" s="193"/>
      <c r="Q16" s="214"/>
      <c r="R16" s="214"/>
      <c r="S16" s="214"/>
      <c r="T16" s="214"/>
      <c r="U16" s="214"/>
      <c r="V16" s="214"/>
    </row>
    <row r="17" spans="1:22" ht="31.5">
      <c r="A17" s="39"/>
      <c r="B17" s="40" t="s">
        <v>435</v>
      </c>
      <c r="C17" s="39"/>
      <c r="D17" s="41"/>
      <c r="E17" s="42"/>
      <c r="F17" s="42"/>
      <c r="G17" s="43"/>
      <c r="H17" s="42"/>
      <c r="I17" s="44"/>
      <c r="J17" s="45"/>
      <c r="K17" s="46"/>
      <c r="L17" s="44"/>
      <c r="M17" s="44"/>
      <c r="N17" s="44"/>
      <c r="O17" s="30"/>
      <c r="P17" s="193"/>
      <c r="Q17" s="214"/>
      <c r="R17" s="214"/>
      <c r="S17" s="214"/>
      <c r="T17" s="214"/>
      <c r="U17" s="214"/>
      <c r="V17" s="214"/>
    </row>
    <row r="18" spans="1:22" ht="47.25">
      <c r="A18" s="268" t="s">
        <v>39</v>
      </c>
      <c r="B18" s="269" t="s">
        <v>436</v>
      </c>
      <c r="C18" s="270" t="s">
        <v>48</v>
      </c>
      <c r="D18" s="237">
        <v>1</v>
      </c>
      <c r="E18" s="48">
        <v>0</v>
      </c>
      <c r="F18" s="48">
        <v>0</v>
      </c>
      <c r="G18" s="49">
        <v>12000</v>
      </c>
      <c r="H18" s="48">
        <v>36000</v>
      </c>
      <c r="I18" s="50">
        <v>2000</v>
      </c>
      <c r="J18" s="51">
        <f>SUM(G18:I18)</f>
        <v>50000</v>
      </c>
      <c r="K18" s="52">
        <f>ROUND(D18*E18,2)</f>
        <v>0</v>
      </c>
      <c r="L18" s="50">
        <f>ROUND(D18*G18,2)</f>
        <v>12000</v>
      </c>
      <c r="M18" s="50">
        <f>ROUND(D18*H18,2)</f>
        <v>36000</v>
      </c>
      <c r="N18" s="50">
        <f>ROUND(D18*I18,2)</f>
        <v>2000</v>
      </c>
      <c r="O18" s="28">
        <f>SUM(L18:N18)</f>
        <v>50000</v>
      </c>
      <c r="P18" s="193"/>
      <c r="Q18" s="214"/>
      <c r="R18" s="214"/>
      <c r="S18" s="214"/>
      <c r="T18" s="214"/>
      <c r="U18" s="214"/>
      <c r="V18" s="214"/>
    </row>
    <row r="19" spans="1:22">
      <c r="A19" s="85"/>
      <c r="B19" s="94" t="s">
        <v>437</v>
      </c>
      <c r="C19" s="85"/>
      <c r="D19" s="95"/>
      <c r="E19" s="96"/>
      <c r="F19" s="96"/>
      <c r="G19" s="97"/>
      <c r="H19" s="96"/>
      <c r="I19" s="98"/>
      <c r="J19" s="99"/>
      <c r="K19" s="100"/>
      <c r="L19" s="98"/>
      <c r="M19" s="98"/>
      <c r="N19" s="98"/>
      <c r="O19" s="101"/>
      <c r="P19" s="193"/>
      <c r="Q19" s="214"/>
      <c r="R19" s="214"/>
      <c r="S19" s="214"/>
      <c r="T19" s="214"/>
      <c r="U19" s="214"/>
      <c r="V19" s="214"/>
    </row>
    <row r="20" spans="1:22">
      <c r="A20" s="271">
        <v>1</v>
      </c>
      <c r="B20" s="272" t="s">
        <v>438</v>
      </c>
      <c r="C20" s="273" t="s">
        <v>81</v>
      </c>
      <c r="D20" s="238">
        <v>1</v>
      </c>
      <c r="E20" s="48">
        <v>25</v>
      </c>
      <c r="F20" s="48">
        <v>8</v>
      </c>
      <c r="G20" s="49">
        <f>ROUND(E20*F20,2)</f>
        <v>200</v>
      </c>
      <c r="H20" s="48">
        <v>8500</v>
      </c>
      <c r="I20" s="50">
        <v>375</v>
      </c>
      <c r="J20" s="51">
        <f>SUM(G20:I20)</f>
        <v>9075</v>
      </c>
      <c r="K20" s="52">
        <f>ROUND(D20*E20,2)</f>
        <v>25</v>
      </c>
      <c r="L20" s="50">
        <f>ROUND(D20*G20,2)</f>
        <v>200</v>
      </c>
      <c r="M20" s="50">
        <f>ROUND(D20*H20,2)</f>
        <v>8500</v>
      </c>
      <c r="N20" s="50">
        <f>ROUND(D20*I20,2)</f>
        <v>375</v>
      </c>
      <c r="O20" s="28">
        <f>SUM(L20:N20)</f>
        <v>9075</v>
      </c>
      <c r="P20" s="193"/>
      <c r="Q20" s="214"/>
      <c r="R20" s="214"/>
      <c r="S20" s="214"/>
      <c r="T20" s="214"/>
      <c r="U20" s="214"/>
      <c r="V20" s="214"/>
    </row>
    <row r="21" spans="1:22" ht="31.5">
      <c r="A21" s="188" t="s">
        <v>71</v>
      </c>
      <c r="B21" s="274" t="s">
        <v>439</v>
      </c>
      <c r="C21" s="275" t="s">
        <v>81</v>
      </c>
      <c r="D21" s="238">
        <v>1</v>
      </c>
      <c r="E21" s="48">
        <v>125</v>
      </c>
      <c r="F21" s="48">
        <v>8</v>
      </c>
      <c r="G21" s="49">
        <f>ROUND(E21*F21,2)</f>
        <v>1000</v>
      </c>
      <c r="H21" s="48">
        <v>65500</v>
      </c>
      <c r="I21" s="50">
        <v>1250</v>
      </c>
      <c r="J21" s="51">
        <f>SUM(G21:I21)</f>
        <v>67750</v>
      </c>
      <c r="K21" s="52">
        <f>ROUND(D21*E21,2)</f>
        <v>125</v>
      </c>
      <c r="L21" s="50">
        <f>ROUND(D21*G21,2)</f>
        <v>1000</v>
      </c>
      <c r="M21" s="50">
        <f>ROUND(D21*H21,2)</f>
        <v>65500</v>
      </c>
      <c r="N21" s="50">
        <f>ROUND(D21*I21,2)</f>
        <v>1250</v>
      </c>
      <c r="O21" s="28">
        <f>SUM(L21:N21)</f>
        <v>67750</v>
      </c>
      <c r="P21" s="193"/>
      <c r="Q21" s="214"/>
      <c r="R21" s="214"/>
      <c r="S21" s="214"/>
      <c r="T21" s="214"/>
      <c r="U21" s="214"/>
      <c r="V21" s="214"/>
    </row>
    <row r="22" spans="1:22">
      <c r="A22" s="85"/>
      <c r="B22" s="94" t="s">
        <v>440</v>
      </c>
      <c r="C22" s="85"/>
      <c r="D22" s="95"/>
      <c r="E22" s="96"/>
      <c r="F22" s="96"/>
      <c r="G22" s="97"/>
      <c r="H22" s="96"/>
      <c r="I22" s="98"/>
      <c r="J22" s="99"/>
      <c r="K22" s="100"/>
      <c r="L22" s="98"/>
      <c r="M22" s="98"/>
      <c r="N22" s="98"/>
      <c r="O22" s="101"/>
      <c r="P22" s="193"/>
      <c r="Q22" s="214"/>
      <c r="R22" s="214"/>
      <c r="S22" s="214"/>
      <c r="T22" s="214"/>
      <c r="U22" s="214"/>
      <c r="V22" s="214"/>
    </row>
    <row r="23" spans="1:22" ht="63">
      <c r="A23" s="271">
        <v>1</v>
      </c>
      <c r="B23" s="276" t="s">
        <v>441</v>
      </c>
      <c r="C23" s="273" t="s">
        <v>48</v>
      </c>
      <c r="D23" s="238">
        <v>12</v>
      </c>
      <c r="E23" s="48">
        <v>0</v>
      </c>
      <c r="F23" s="48">
        <v>0</v>
      </c>
      <c r="G23" s="49">
        <v>4500</v>
      </c>
      <c r="H23" s="48">
        <v>6000</v>
      </c>
      <c r="I23" s="50">
        <v>400</v>
      </c>
      <c r="J23" s="51">
        <f>SUM(G23:I23)</f>
        <v>10900</v>
      </c>
      <c r="K23" s="52">
        <f>ROUND(D23*E23,2)</f>
        <v>0</v>
      </c>
      <c r="L23" s="50">
        <f>ROUND(D23*G23,2)</f>
        <v>54000</v>
      </c>
      <c r="M23" s="50">
        <f>ROUND(D23*H23,2)</f>
        <v>72000</v>
      </c>
      <c r="N23" s="50">
        <f>ROUND(D23*I23,2)</f>
        <v>4800</v>
      </c>
      <c r="O23" s="28">
        <f>SUM(L23:N23)</f>
        <v>130800</v>
      </c>
      <c r="P23" s="193"/>
      <c r="Q23" s="214"/>
      <c r="R23" s="214"/>
      <c r="S23" s="214"/>
      <c r="T23" s="214"/>
      <c r="U23" s="214"/>
      <c r="V23" s="214"/>
    </row>
    <row r="24" spans="1:22" ht="31.5">
      <c r="A24" s="85"/>
      <c r="B24" s="102" t="s">
        <v>442</v>
      </c>
      <c r="C24" s="85"/>
      <c r="D24" s="95"/>
      <c r="E24" s="96"/>
      <c r="F24" s="96"/>
      <c r="G24" s="97"/>
      <c r="H24" s="96"/>
      <c r="I24" s="98"/>
      <c r="J24" s="99"/>
      <c r="K24" s="100"/>
      <c r="L24" s="98"/>
      <c r="M24" s="98"/>
      <c r="N24" s="98"/>
      <c r="O24" s="101"/>
      <c r="P24" s="193"/>
      <c r="Q24" s="214"/>
      <c r="R24" s="214"/>
      <c r="S24" s="214"/>
      <c r="T24" s="214"/>
      <c r="U24" s="214"/>
      <c r="V24" s="214"/>
    </row>
    <row r="25" spans="1:22" s="161" customFormat="1" ht="38.25">
      <c r="A25" s="133" t="s">
        <v>39</v>
      </c>
      <c r="B25" s="173" t="s">
        <v>142</v>
      </c>
      <c r="C25" s="174" t="s">
        <v>143</v>
      </c>
      <c r="D25" s="238">
        <f>4730*0.25</f>
        <v>1182.5</v>
      </c>
      <c r="E25" s="48">
        <v>0.15</v>
      </c>
      <c r="F25" s="48">
        <v>10</v>
      </c>
      <c r="G25" s="49">
        <f t="shared" ref="G25:G31" si="0">ROUND(E25*F25,2)</f>
        <v>1.5</v>
      </c>
      <c r="H25" s="48">
        <v>1.25</v>
      </c>
      <c r="I25" s="50">
        <v>6.5</v>
      </c>
      <c r="J25" s="51">
        <f t="shared" ref="J25:J31" si="1">SUM(G25:I25)</f>
        <v>9.25</v>
      </c>
      <c r="K25" s="52">
        <f t="shared" ref="K25:K31" si="2">ROUND(D25*E25,2)</f>
        <v>177.38</v>
      </c>
      <c r="L25" s="50">
        <f t="shared" ref="L25:L31" si="3">ROUND(D25*G25,2)</f>
        <v>1773.75</v>
      </c>
      <c r="M25" s="50">
        <f t="shared" ref="M25:M31" si="4">ROUND(D25*H25,2)</f>
        <v>1478.13</v>
      </c>
      <c r="N25" s="50">
        <f t="shared" ref="N25:N31" si="5">ROUND(D25*I25,2)</f>
        <v>7686.25</v>
      </c>
      <c r="O25" s="28">
        <f t="shared" ref="O25:O31" si="6">SUM(L25:N25)</f>
        <v>10938.130000000001</v>
      </c>
      <c r="P25" s="193"/>
      <c r="Q25" s="197"/>
      <c r="R25" s="197"/>
      <c r="S25" s="197"/>
      <c r="T25" s="197"/>
      <c r="U25" s="197"/>
      <c r="V25" s="197"/>
    </row>
    <row r="26" spans="1:22" s="161" customFormat="1">
      <c r="A26" s="133" t="s">
        <v>71</v>
      </c>
      <c r="B26" s="175" t="s">
        <v>144</v>
      </c>
      <c r="C26" s="176" t="s">
        <v>76</v>
      </c>
      <c r="D26" s="238">
        <f>5557.75*0.25</f>
        <v>1389.4375</v>
      </c>
      <c r="E26" s="48">
        <v>0.35</v>
      </c>
      <c r="F26" s="48">
        <v>10</v>
      </c>
      <c r="G26" s="49">
        <f t="shared" si="0"/>
        <v>3.5</v>
      </c>
      <c r="H26" s="48">
        <v>0.05</v>
      </c>
      <c r="I26" s="50">
        <v>2.5</v>
      </c>
      <c r="J26" s="51">
        <f t="shared" si="1"/>
        <v>6.05</v>
      </c>
      <c r="K26" s="52">
        <f t="shared" si="2"/>
        <v>486.3</v>
      </c>
      <c r="L26" s="50">
        <f t="shared" si="3"/>
        <v>4863.03</v>
      </c>
      <c r="M26" s="50">
        <f t="shared" si="4"/>
        <v>69.47</v>
      </c>
      <c r="N26" s="50">
        <f t="shared" si="5"/>
        <v>3473.59</v>
      </c>
      <c r="O26" s="28">
        <f t="shared" si="6"/>
        <v>8406.09</v>
      </c>
      <c r="P26" s="193"/>
      <c r="Q26" s="197"/>
      <c r="R26" s="197"/>
      <c r="S26" s="197"/>
      <c r="T26" s="197"/>
      <c r="U26" s="197"/>
      <c r="V26" s="197"/>
    </row>
    <row r="27" spans="1:22" s="161" customFormat="1" ht="25.5">
      <c r="A27" s="133" t="s">
        <v>74</v>
      </c>
      <c r="B27" s="175" t="s">
        <v>145</v>
      </c>
      <c r="C27" s="176" t="s">
        <v>76</v>
      </c>
      <c r="D27" s="238">
        <f>1000*0.25</f>
        <v>250</v>
      </c>
      <c r="E27" s="48">
        <v>0.25</v>
      </c>
      <c r="F27" s="48">
        <v>10</v>
      </c>
      <c r="G27" s="49">
        <f t="shared" si="0"/>
        <v>2.5</v>
      </c>
      <c r="H27" s="48">
        <v>3.45</v>
      </c>
      <c r="I27" s="50">
        <v>1.5</v>
      </c>
      <c r="J27" s="51">
        <f t="shared" si="1"/>
        <v>7.45</v>
      </c>
      <c r="K27" s="52">
        <f t="shared" si="2"/>
        <v>62.5</v>
      </c>
      <c r="L27" s="50">
        <f t="shared" si="3"/>
        <v>625</v>
      </c>
      <c r="M27" s="50">
        <f t="shared" si="4"/>
        <v>862.5</v>
      </c>
      <c r="N27" s="50">
        <f t="shared" si="5"/>
        <v>375</v>
      </c>
      <c r="O27" s="28">
        <f t="shared" si="6"/>
        <v>1862.5</v>
      </c>
      <c r="P27" s="193"/>
      <c r="Q27" s="197"/>
      <c r="R27" s="197"/>
      <c r="S27" s="197"/>
      <c r="T27" s="197"/>
      <c r="U27" s="197"/>
      <c r="V27" s="197"/>
    </row>
    <row r="28" spans="1:22" s="161" customFormat="1" ht="51">
      <c r="A28" s="133" t="s">
        <v>77</v>
      </c>
      <c r="B28" s="175" t="s">
        <v>146</v>
      </c>
      <c r="C28" s="176" t="s">
        <v>76</v>
      </c>
      <c r="D28" s="239">
        <f>5557.75*0.25</f>
        <v>1389.4375</v>
      </c>
      <c r="E28" s="48">
        <v>0.25</v>
      </c>
      <c r="F28" s="48">
        <v>10</v>
      </c>
      <c r="G28" s="49">
        <f t="shared" si="0"/>
        <v>2.5</v>
      </c>
      <c r="H28" s="48">
        <v>1.45</v>
      </c>
      <c r="I28" s="50">
        <v>0.95</v>
      </c>
      <c r="J28" s="51">
        <f t="shared" si="1"/>
        <v>4.9000000000000004</v>
      </c>
      <c r="K28" s="52">
        <f t="shared" si="2"/>
        <v>347.36</v>
      </c>
      <c r="L28" s="50">
        <f t="shared" si="3"/>
        <v>3473.59</v>
      </c>
      <c r="M28" s="50">
        <f t="shared" si="4"/>
        <v>2014.68</v>
      </c>
      <c r="N28" s="50">
        <f t="shared" si="5"/>
        <v>1319.97</v>
      </c>
      <c r="O28" s="28">
        <f t="shared" si="6"/>
        <v>6808.2400000000007</v>
      </c>
      <c r="P28" s="193"/>
      <c r="Q28" s="197"/>
      <c r="R28" s="197"/>
      <c r="S28" s="197"/>
      <c r="T28" s="197"/>
      <c r="U28" s="197"/>
      <c r="V28" s="197"/>
    </row>
    <row r="29" spans="1:22" s="161" customFormat="1" ht="38.25">
      <c r="A29" s="133" t="s">
        <v>79</v>
      </c>
      <c r="B29" s="175" t="s">
        <v>147</v>
      </c>
      <c r="C29" s="176" t="s">
        <v>76</v>
      </c>
      <c r="D29" s="239">
        <f>5557.75*0.25</f>
        <v>1389.4375</v>
      </c>
      <c r="E29" s="48">
        <v>1.25</v>
      </c>
      <c r="F29" s="48">
        <v>10</v>
      </c>
      <c r="G29" s="49">
        <f t="shared" si="0"/>
        <v>12.5</v>
      </c>
      <c r="H29" s="48">
        <v>0.95</v>
      </c>
      <c r="I29" s="50">
        <v>0.45</v>
      </c>
      <c r="J29" s="51">
        <f t="shared" si="1"/>
        <v>13.899999999999999</v>
      </c>
      <c r="K29" s="52">
        <f t="shared" si="2"/>
        <v>1736.8</v>
      </c>
      <c r="L29" s="50">
        <f t="shared" si="3"/>
        <v>17367.97</v>
      </c>
      <c r="M29" s="50">
        <f t="shared" si="4"/>
        <v>1319.97</v>
      </c>
      <c r="N29" s="50">
        <f t="shared" si="5"/>
        <v>625.25</v>
      </c>
      <c r="O29" s="28">
        <f t="shared" si="6"/>
        <v>19313.190000000002</v>
      </c>
      <c r="P29" s="193"/>
      <c r="Q29" s="197"/>
      <c r="R29" s="197"/>
      <c r="S29" s="197"/>
      <c r="T29" s="197"/>
      <c r="U29" s="197"/>
      <c r="V29" s="197"/>
    </row>
    <row r="30" spans="1:22" s="161" customFormat="1" ht="63.75">
      <c r="A30" s="133" t="s">
        <v>82</v>
      </c>
      <c r="B30" s="175" t="s">
        <v>148</v>
      </c>
      <c r="C30" s="176" t="s">
        <v>76</v>
      </c>
      <c r="D30" s="239">
        <f>827.75*0.25</f>
        <v>206.9375</v>
      </c>
      <c r="E30" s="48">
        <v>1.95</v>
      </c>
      <c r="F30" s="48">
        <v>10</v>
      </c>
      <c r="G30" s="49">
        <f t="shared" si="0"/>
        <v>19.5</v>
      </c>
      <c r="H30" s="48">
        <v>0.95</v>
      </c>
      <c r="I30" s="50">
        <v>0.65</v>
      </c>
      <c r="J30" s="51">
        <f t="shared" si="1"/>
        <v>21.099999999999998</v>
      </c>
      <c r="K30" s="52">
        <f t="shared" si="2"/>
        <v>403.53</v>
      </c>
      <c r="L30" s="50">
        <f t="shared" si="3"/>
        <v>4035.28</v>
      </c>
      <c r="M30" s="50">
        <f t="shared" si="4"/>
        <v>196.59</v>
      </c>
      <c r="N30" s="50">
        <f t="shared" si="5"/>
        <v>134.51</v>
      </c>
      <c r="O30" s="28">
        <f t="shared" si="6"/>
        <v>4366.38</v>
      </c>
      <c r="P30" s="193"/>
      <c r="Q30" s="197"/>
      <c r="R30" s="197"/>
      <c r="S30" s="197"/>
      <c r="T30" s="197"/>
      <c r="U30" s="197"/>
      <c r="V30" s="197"/>
    </row>
    <row r="31" spans="1:22" s="161" customFormat="1" ht="51">
      <c r="A31" s="133" t="s">
        <v>85</v>
      </c>
      <c r="B31" s="175" t="s">
        <v>149</v>
      </c>
      <c r="C31" s="176" t="s">
        <v>76</v>
      </c>
      <c r="D31" s="239">
        <f>5557.75*0.25</f>
        <v>1389.4375</v>
      </c>
      <c r="E31" s="48">
        <v>0.95</v>
      </c>
      <c r="F31" s="48">
        <v>10</v>
      </c>
      <c r="G31" s="49">
        <f t="shared" si="0"/>
        <v>9.5</v>
      </c>
      <c r="H31" s="48">
        <v>7.45</v>
      </c>
      <c r="I31" s="50">
        <v>0.45</v>
      </c>
      <c r="J31" s="51">
        <f t="shared" si="1"/>
        <v>17.399999999999999</v>
      </c>
      <c r="K31" s="52">
        <f t="shared" si="2"/>
        <v>1319.97</v>
      </c>
      <c r="L31" s="50">
        <f t="shared" si="3"/>
        <v>13199.66</v>
      </c>
      <c r="M31" s="50">
        <f t="shared" si="4"/>
        <v>10351.31</v>
      </c>
      <c r="N31" s="50">
        <f t="shared" si="5"/>
        <v>625.25</v>
      </c>
      <c r="O31" s="28">
        <f t="shared" si="6"/>
        <v>24176.22</v>
      </c>
      <c r="P31" s="193"/>
      <c r="Q31" s="197"/>
      <c r="R31" s="197"/>
      <c r="S31" s="197"/>
      <c r="T31" s="197"/>
      <c r="U31" s="197"/>
      <c r="V31" s="197"/>
    </row>
    <row r="32" spans="1:22">
      <c r="A32" s="35"/>
      <c r="B32" s="33" t="s">
        <v>43</v>
      </c>
      <c r="C32" s="32"/>
      <c r="D32" s="53"/>
      <c r="E32" s="42"/>
      <c r="F32" s="42"/>
      <c r="G32" s="43"/>
      <c r="H32" s="42"/>
      <c r="I32" s="44"/>
      <c r="J32" s="45"/>
      <c r="K32" s="46"/>
      <c r="L32" s="44"/>
      <c r="M32" s="44"/>
      <c r="N32" s="44"/>
      <c r="O32" s="30"/>
      <c r="P32" s="193"/>
      <c r="Q32" s="214"/>
      <c r="R32" s="214"/>
      <c r="S32" s="214"/>
      <c r="T32" s="214"/>
      <c r="U32" s="214"/>
      <c r="V32" s="214"/>
    </row>
    <row r="33" spans="1:24" ht="31.5">
      <c r="A33" s="155">
        <v>3</v>
      </c>
      <c r="B33" s="139" t="s">
        <v>443</v>
      </c>
      <c r="C33" s="141" t="s">
        <v>135</v>
      </c>
      <c r="D33" s="238">
        <v>1</v>
      </c>
      <c r="E33" s="48">
        <v>0</v>
      </c>
      <c r="F33" s="48">
        <v>0</v>
      </c>
      <c r="G33" s="49">
        <v>7000</v>
      </c>
      <c r="H33" s="48">
        <v>0</v>
      </c>
      <c r="I33" s="50">
        <v>0</v>
      </c>
      <c r="J33" s="51">
        <f t="shared" ref="J33:J39" si="7">SUM(G33:I33)</f>
        <v>7000</v>
      </c>
      <c r="K33" s="52">
        <f t="shared" ref="K33:K39" si="8">ROUND(D33*E33,2)</f>
        <v>0</v>
      </c>
      <c r="L33" s="50">
        <f t="shared" ref="L33:L39" si="9">ROUND(D33*G33,2)</f>
        <v>7000</v>
      </c>
      <c r="M33" s="50">
        <f t="shared" ref="M33:M39" si="10">ROUND(D33*H33,2)</f>
        <v>0</v>
      </c>
      <c r="N33" s="50">
        <f t="shared" ref="N33:N39" si="11">ROUND(D33*I33,2)</f>
        <v>0</v>
      </c>
      <c r="O33" s="28">
        <f t="shared" ref="O33:O39" si="12">SUM(L33:N33)</f>
        <v>7000</v>
      </c>
      <c r="P33" s="193">
        <v>0.05</v>
      </c>
      <c r="Q33" s="214">
        <f>ROUND(O33*P33,2)</f>
        <v>350</v>
      </c>
      <c r="R33" s="214">
        <v>0.12</v>
      </c>
      <c r="S33" s="214">
        <f>ROUND(O33*R33,2)</f>
        <v>840</v>
      </c>
      <c r="T33" s="197">
        <f>O33+Q33+S33</f>
        <v>8190</v>
      </c>
      <c r="U33" s="214">
        <v>1.21</v>
      </c>
      <c r="V33" s="198">
        <f>ROUND(T33*U33,2)</f>
        <v>9909.9</v>
      </c>
      <c r="X33" s="217">
        <f>V33+V39</f>
        <v>31145.4</v>
      </c>
    </row>
    <row r="34" spans="1:24" ht="31.5">
      <c r="A34" s="155">
        <v>4</v>
      </c>
      <c r="B34" s="139" t="s">
        <v>42</v>
      </c>
      <c r="C34" s="141" t="s">
        <v>44</v>
      </c>
      <c r="D34" s="238">
        <v>12</v>
      </c>
      <c r="E34" s="48">
        <v>0</v>
      </c>
      <c r="F34" s="48">
        <v>0</v>
      </c>
      <c r="G34" s="49">
        <v>4900</v>
      </c>
      <c r="H34" s="48">
        <v>0</v>
      </c>
      <c r="I34" s="50">
        <v>0</v>
      </c>
      <c r="J34" s="51">
        <f t="shared" si="7"/>
        <v>4900</v>
      </c>
      <c r="K34" s="52">
        <f t="shared" si="8"/>
        <v>0</v>
      </c>
      <c r="L34" s="50">
        <f t="shared" si="9"/>
        <v>58800</v>
      </c>
      <c r="M34" s="50">
        <f t="shared" si="10"/>
        <v>0</v>
      </c>
      <c r="N34" s="50">
        <f t="shared" si="11"/>
        <v>0</v>
      </c>
      <c r="O34" s="28">
        <f t="shared" si="12"/>
        <v>58800</v>
      </c>
      <c r="P34" s="193">
        <v>0.05</v>
      </c>
      <c r="Q34" s="214">
        <f t="shared" ref="Q34:Q40" si="13">ROUND(O34*P34,2)</f>
        <v>2940</v>
      </c>
      <c r="R34" s="214">
        <v>0.12</v>
      </c>
      <c r="S34" s="214">
        <f t="shared" ref="S34:S40" si="14">ROUND(O34*R34,2)</f>
        <v>7056</v>
      </c>
      <c r="T34" s="197">
        <f t="shared" ref="T34:T40" si="15">O34+Q34+S34</f>
        <v>68796</v>
      </c>
      <c r="U34" s="214">
        <v>1.21</v>
      </c>
      <c r="V34" s="198">
        <f t="shared" ref="V34:V40" si="16">ROUND(T34*U34,2)</f>
        <v>83243.16</v>
      </c>
    </row>
    <row r="35" spans="1:24" ht="31.5">
      <c r="A35" s="155">
        <v>5</v>
      </c>
      <c r="B35" s="139" t="s">
        <v>444</v>
      </c>
      <c r="C35" s="141" t="s">
        <v>44</v>
      </c>
      <c r="D35" s="238">
        <v>12</v>
      </c>
      <c r="E35" s="48">
        <v>0</v>
      </c>
      <c r="F35" s="48">
        <v>0</v>
      </c>
      <c r="G35" s="49">
        <v>3000</v>
      </c>
      <c r="H35" s="48">
        <v>0</v>
      </c>
      <c r="I35" s="50">
        <v>0</v>
      </c>
      <c r="J35" s="51">
        <f t="shared" si="7"/>
        <v>3000</v>
      </c>
      <c r="K35" s="52">
        <f t="shared" si="8"/>
        <v>0</v>
      </c>
      <c r="L35" s="50">
        <f t="shared" si="9"/>
        <v>36000</v>
      </c>
      <c r="M35" s="50">
        <f t="shared" si="10"/>
        <v>0</v>
      </c>
      <c r="N35" s="50">
        <f t="shared" si="11"/>
        <v>0</v>
      </c>
      <c r="O35" s="28">
        <f t="shared" si="12"/>
        <v>36000</v>
      </c>
      <c r="P35" s="193">
        <v>0.05</v>
      </c>
      <c r="Q35" s="214">
        <f t="shared" si="13"/>
        <v>1800</v>
      </c>
      <c r="R35" s="214">
        <v>0.12</v>
      </c>
      <c r="S35" s="214">
        <f t="shared" si="14"/>
        <v>4320</v>
      </c>
      <c r="T35" s="197">
        <f t="shared" si="15"/>
        <v>42120</v>
      </c>
      <c r="U35" s="214">
        <v>1.21</v>
      </c>
      <c r="V35" s="198">
        <f t="shared" si="16"/>
        <v>50965.2</v>
      </c>
      <c r="X35" s="217">
        <f>V35+V36</f>
        <v>66070.720000000001</v>
      </c>
    </row>
    <row r="36" spans="1:24" ht="31.5">
      <c r="A36" s="155">
        <v>6</v>
      </c>
      <c r="B36" s="139" t="s">
        <v>138</v>
      </c>
      <c r="C36" s="141" t="s">
        <v>135</v>
      </c>
      <c r="D36" s="238">
        <v>1</v>
      </c>
      <c r="E36" s="48">
        <v>0</v>
      </c>
      <c r="F36" s="48">
        <v>0</v>
      </c>
      <c r="G36" s="49">
        <v>10670</v>
      </c>
      <c r="H36" s="48">
        <v>0</v>
      </c>
      <c r="I36" s="50">
        <v>0</v>
      </c>
      <c r="J36" s="51">
        <f t="shared" si="7"/>
        <v>10670</v>
      </c>
      <c r="K36" s="52">
        <f t="shared" si="8"/>
        <v>0</v>
      </c>
      <c r="L36" s="50">
        <f t="shared" si="9"/>
        <v>10670</v>
      </c>
      <c r="M36" s="50">
        <f t="shared" si="10"/>
        <v>0</v>
      </c>
      <c r="N36" s="50">
        <f t="shared" si="11"/>
        <v>0</v>
      </c>
      <c r="O36" s="28">
        <f t="shared" si="12"/>
        <v>10670</v>
      </c>
      <c r="P36" s="193">
        <v>0.05</v>
      </c>
      <c r="Q36" s="214">
        <f t="shared" si="13"/>
        <v>533.5</v>
      </c>
      <c r="R36" s="214">
        <v>0.12</v>
      </c>
      <c r="S36" s="214">
        <f t="shared" si="14"/>
        <v>1280.4000000000001</v>
      </c>
      <c r="T36" s="197">
        <f t="shared" si="15"/>
        <v>12483.9</v>
      </c>
      <c r="U36" s="214">
        <v>1.21</v>
      </c>
      <c r="V36" s="198">
        <f t="shared" si="16"/>
        <v>15105.52</v>
      </c>
    </row>
    <row r="37" spans="1:24" ht="31.5">
      <c r="A37" s="155">
        <v>7</v>
      </c>
      <c r="B37" s="139" t="s">
        <v>139</v>
      </c>
      <c r="C37" s="141" t="s">
        <v>135</v>
      </c>
      <c r="D37" s="238">
        <v>1</v>
      </c>
      <c r="E37" s="48">
        <v>0</v>
      </c>
      <c r="F37" s="48">
        <v>0</v>
      </c>
      <c r="G37" s="49">
        <v>4500</v>
      </c>
      <c r="H37" s="48">
        <v>0</v>
      </c>
      <c r="I37" s="50">
        <v>0</v>
      </c>
      <c r="J37" s="51">
        <f t="shared" si="7"/>
        <v>4500</v>
      </c>
      <c r="K37" s="52">
        <f t="shared" si="8"/>
        <v>0</v>
      </c>
      <c r="L37" s="50">
        <f t="shared" si="9"/>
        <v>4500</v>
      </c>
      <c r="M37" s="50">
        <f t="shared" si="10"/>
        <v>0</v>
      </c>
      <c r="N37" s="50">
        <f t="shared" si="11"/>
        <v>0</v>
      </c>
      <c r="O37" s="28">
        <f t="shared" si="12"/>
        <v>4500</v>
      </c>
      <c r="P37" s="193">
        <v>0.05</v>
      </c>
      <c r="Q37" s="214">
        <f t="shared" si="13"/>
        <v>225</v>
      </c>
      <c r="R37" s="214">
        <v>0.12</v>
      </c>
      <c r="S37" s="214">
        <f t="shared" si="14"/>
        <v>540</v>
      </c>
      <c r="T37" s="197">
        <f t="shared" si="15"/>
        <v>5265</v>
      </c>
      <c r="U37" s="214">
        <v>1.21</v>
      </c>
      <c r="V37" s="198">
        <f t="shared" si="16"/>
        <v>6370.65</v>
      </c>
      <c r="X37" s="217">
        <f>V37+V38</f>
        <v>24774.75</v>
      </c>
    </row>
    <row r="38" spans="1:24" ht="31.5">
      <c r="A38" s="155">
        <v>8</v>
      </c>
      <c r="B38" s="139" t="s">
        <v>174</v>
      </c>
      <c r="C38" s="141" t="s">
        <v>135</v>
      </c>
      <c r="D38" s="238">
        <v>1</v>
      </c>
      <c r="E38" s="48">
        <v>0</v>
      </c>
      <c r="F38" s="48">
        <v>0</v>
      </c>
      <c r="G38" s="49">
        <v>13000</v>
      </c>
      <c r="H38" s="48">
        <v>0</v>
      </c>
      <c r="I38" s="50">
        <v>0</v>
      </c>
      <c r="J38" s="51">
        <f>SUM(G38:I38)</f>
        <v>13000</v>
      </c>
      <c r="K38" s="52">
        <f t="shared" si="8"/>
        <v>0</v>
      </c>
      <c r="L38" s="50">
        <f t="shared" si="9"/>
        <v>13000</v>
      </c>
      <c r="M38" s="50">
        <f t="shared" si="10"/>
        <v>0</v>
      </c>
      <c r="N38" s="50">
        <f t="shared" si="11"/>
        <v>0</v>
      </c>
      <c r="O38" s="28">
        <f t="shared" si="12"/>
        <v>13000</v>
      </c>
      <c r="P38" s="193">
        <v>0.05</v>
      </c>
      <c r="Q38" s="214">
        <f t="shared" si="13"/>
        <v>650</v>
      </c>
      <c r="R38" s="214">
        <v>0.12</v>
      </c>
      <c r="S38" s="214">
        <f t="shared" si="14"/>
        <v>1560</v>
      </c>
      <c r="T38" s="197">
        <f t="shared" si="15"/>
        <v>15210</v>
      </c>
      <c r="U38" s="214">
        <v>1.21</v>
      </c>
      <c r="V38" s="198">
        <f t="shared" si="16"/>
        <v>18404.099999999999</v>
      </c>
    </row>
    <row r="39" spans="1:24">
      <c r="A39" s="155">
        <v>9</v>
      </c>
      <c r="B39" s="139" t="s">
        <v>445</v>
      </c>
      <c r="C39" s="135" t="s">
        <v>135</v>
      </c>
      <c r="D39" s="238">
        <v>1</v>
      </c>
      <c r="E39" s="48">
        <v>0</v>
      </c>
      <c r="F39" s="48">
        <v>0</v>
      </c>
      <c r="G39" s="49">
        <v>15000</v>
      </c>
      <c r="H39" s="48">
        <v>0</v>
      </c>
      <c r="I39" s="50">
        <v>0</v>
      </c>
      <c r="J39" s="51">
        <f t="shared" si="7"/>
        <v>15000</v>
      </c>
      <c r="K39" s="52">
        <f t="shared" si="8"/>
        <v>0</v>
      </c>
      <c r="L39" s="50">
        <f t="shared" si="9"/>
        <v>15000</v>
      </c>
      <c r="M39" s="50">
        <f t="shared" si="10"/>
        <v>0</v>
      </c>
      <c r="N39" s="50">
        <f t="shared" si="11"/>
        <v>0</v>
      </c>
      <c r="O39" s="28">
        <f t="shared" si="12"/>
        <v>15000</v>
      </c>
      <c r="P39" s="193">
        <v>0.05</v>
      </c>
      <c r="Q39" s="214">
        <f t="shared" si="13"/>
        <v>750</v>
      </c>
      <c r="R39" s="214">
        <v>0.12</v>
      </c>
      <c r="S39" s="214">
        <f t="shared" si="14"/>
        <v>1800</v>
      </c>
      <c r="T39" s="197">
        <f t="shared" si="15"/>
        <v>17550</v>
      </c>
      <c r="U39" s="214">
        <v>1.21</v>
      </c>
      <c r="V39" s="198">
        <f t="shared" si="16"/>
        <v>21235.5</v>
      </c>
    </row>
    <row r="40" spans="1:24">
      <c r="A40" s="382" t="s">
        <v>19</v>
      </c>
      <c r="B40" s="382"/>
      <c r="C40" s="382"/>
      <c r="D40" s="382"/>
      <c r="E40" s="382"/>
      <c r="F40" s="382"/>
      <c r="G40" s="382"/>
      <c r="H40" s="382"/>
      <c r="I40" s="382"/>
      <c r="J40" s="382"/>
      <c r="K40" s="34">
        <f>SUM(K13:K39)</f>
        <v>4683.84</v>
      </c>
      <c r="L40" s="34">
        <f>SUM(L13:L39)</f>
        <v>399125.98</v>
      </c>
      <c r="M40" s="34">
        <f>SUM(M13:M39)</f>
        <v>280850.75999999995</v>
      </c>
      <c r="N40" s="34">
        <f>SUM(N13:N39)</f>
        <v>136638.14000000001</v>
      </c>
      <c r="O40" s="34">
        <f>SUM(O13:O39)</f>
        <v>816614.88</v>
      </c>
      <c r="P40" s="193">
        <v>0.05</v>
      </c>
      <c r="Q40" s="214">
        <f t="shared" si="13"/>
        <v>40830.74</v>
      </c>
      <c r="R40" s="214">
        <v>0.12</v>
      </c>
      <c r="S40" s="214">
        <f t="shared" si="14"/>
        <v>97993.79</v>
      </c>
      <c r="T40" s="197">
        <f t="shared" si="15"/>
        <v>955439.41</v>
      </c>
      <c r="U40" s="214">
        <v>1.21</v>
      </c>
      <c r="V40" s="198">
        <f t="shared" si="16"/>
        <v>1156081.69</v>
      </c>
    </row>
    <row r="41" spans="1:24">
      <c r="A41" s="211"/>
      <c r="B41" s="218"/>
      <c r="C41" s="219"/>
      <c r="D41" s="220"/>
      <c r="E41" s="221"/>
      <c r="F41" s="221"/>
      <c r="G41" s="221"/>
      <c r="H41" s="221"/>
      <c r="I41" s="222"/>
      <c r="J41" s="221"/>
      <c r="K41" s="223"/>
      <c r="L41" s="223"/>
      <c r="M41" s="223"/>
      <c r="N41" s="223"/>
      <c r="O41" s="223"/>
    </row>
    <row r="42" spans="1:24">
      <c r="A42" s="224"/>
      <c r="B42" s="225"/>
      <c r="C42" s="210"/>
      <c r="D42" s="211"/>
      <c r="E42" s="211"/>
      <c r="F42" s="211"/>
      <c r="G42" s="226"/>
      <c r="I42" s="211"/>
      <c r="J42" s="211"/>
      <c r="K42" s="211"/>
      <c r="L42" s="211"/>
      <c r="M42" s="211"/>
      <c r="N42" s="211"/>
      <c r="O42" s="211"/>
      <c r="V42" s="217">
        <f>V40-X33-X35-X37</f>
        <v>1034090.8200000001</v>
      </c>
    </row>
    <row r="43" spans="1:24">
      <c r="A43" s="209"/>
      <c r="B43" s="225"/>
      <c r="C43" s="210"/>
      <c r="D43" s="211"/>
      <c r="E43" s="211"/>
      <c r="F43" s="211"/>
      <c r="G43" s="226"/>
      <c r="H43" s="383"/>
      <c r="I43" s="383"/>
      <c r="J43" s="211"/>
      <c r="K43" s="211"/>
      <c r="L43" s="211"/>
      <c r="M43" s="211"/>
      <c r="N43" s="211"/>
      <c r="O43" s="211"/>
    </row>
    <row r="44" spans="1:24">
      <c r="A44" s="381"/>
      <c r="B44" s="381"/>
      <c r="C44" s="210"/>
      <c r="D44" s="211"/>
      <c r="E44" s="211"/>
      <c r="F44" s="211"/>
      <c r="G44" s="211"/>
      <c r="H44" s="211"/>
      <c r="I44" s="211"/>
      <c r="J44" s="211"/>
      <c r="K44" s="211"/>
      <c r="L44" s="211"/>
      <c r="M44" s="211"/>
      <c r="N44" s="211"/>
      <c r="O44" s="211"/>
    </row>
    <row r="45" spans="1:24">
      <c r="A45" s="209"/>
      <c r="B45" s="225"/>
      <c r="C45" s="210"/>
      <c r="D45" s="211"/>
      <c r="E45" s="211"/>
      <c r="F45" s="211"/>
      <c r="G45" s="226"/>
      <c r="H45" s="211"/>
      <c r="I45" s="211"/>
      <c r="J45" s="211"/>
      <c r="K45" s="211"/>
      <c r="L45" s="211"/>
      <c r="M45" s="211"/>
      <c r="N45" s="211"/>
      <c r="O45" s="211"/>
    </row>
    <row r="46" spans="1:24">
      <c r="A46" s="224"/>
      <c r="B46" s="225"/>
      <c r="C46" s="210"/>
      <c r="D46" s="211"/>
      <c r="E46" s="211"/>
      <c r="F46" s="211"/>
      <c r="G46" s="211"/>
      <c r="H46" s="381"/>
      <c r="I46" s="381"/>
      <c r="J46" s="211"/>
      <c r="K46" s="211"/>
      <c r="L46" s="211"/>
      <c r="M46" s="211"/>
      <c r="N46" s="211"/>
      <c r="O46" s="211"/>
    </row>
    <row r="47" spans="1:24">
      <c r="A47" s="209"/>
      <c r="B47" s="225"/>
      <c r="C47" s="210"/>
      <c r="D47" s="211"/>
      <c r="E47" s="211"/>
      <c r="F47" s="211"/>
      <c r="G47" s="226"/>
      <c r="H47" s="383"/>
      <c r="I47" s="383"/>
      <c r="J47" s="211"/>
      <c r="K47" s="211"/>
      <c r="L47" s="211"/>
      <c r="M47" s="211"/>
      <c r="N47" s="211"/>
      <c r="O47" s="211"/>
    </row>
    <row r="48" spans="1:24">
      <c r="A48" s="381"/>
      <c r="B48" s="381"/>
      <c r="C48" s="210"/>
      <c r="D48" s="211"/>
      <c r="E48" s="211"/>
      <c r="F48" s="211"/>
      <c r="G48" s="211"/>
      <c r="H48" s="211"/>
      <c r="I48" s="211"/>
      <c r="J48" s="211"/>
      <c r="K48" s="211"/>
      <c r="L48" s="211"/>
      <c r="M48" s="211"/>
      <c r="N48" s="211"/>
      <c r="O48" s="211"/>
    </row>
  </sheetData>
  <mergeCells count="20">
    <mergeCell ref="A1:N1"/>
    <mergeCell ref="A2:N2"/>
    <mergeCell ref="A4:B4"/>
    <mergeCell ref="C4:L4"/>
    <mergeCell ref="A5:B5"/>
    <mergeCell ref="C5:L5"/>
    <mergeCell ref="A6:B6"/>
    <mergeCell ref="C6:L6"/>
    <mergeCell ref="A10:A11"/>
    <mergeCell ref="B10:B11"/>
    <mergeCell ref="C10:C11"/>
    <mergeCell ref="D10:D11"/>
    <mergeCell ref="E10:J10"/>
    <mergeCell ref="K10:O10"/>
    <mergeCell ref="A48:B48"/>
    <mergeCell ref="A40:J40"/>
    <mergeCell ref="H43:I43"/>
    <mergeCell ref="A44:B44"/>
    <mergeCell ref="H46:I46"/>
    <mergeCell ref="H47:I47"/>
  </mergeCells>
  <phoneticPr fontId="8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X33"/>
  <sheetViews>
    <sheetView topLeftCell="A4" zoomScale="50" zoomScaleNormal="50" workbookViewId="0">
      <selection activeCell="K29" sqref="K29"/>
    </sheetView>
  </sheetViews>
  <sheetFormatPr defaultColWidth="9.140625" defaultRowHeight="15.75"/>
  <cols>
    <col min="1" max="1" width="5.7109375" style="227" customWidth="1"/>
    <col min="2" max="2" width="34.85546875" style="210" customWidth="1"/>
    <col min="3" max="3" width="6.28515625" style="209" customWidth="1"/>
    <col min="4" max="4" width="11.42578125" style="209" customWidth="1"/>
    <col min="5" max="5" width="9.5703125" style="228" customWidth="1"/>
    <col min="6" max="6" width="7.28515625" style="210" customWidth="1"/>
    <col min="7" max="7" width="10.85546875" style="210" customWidth="1"/>
    <col min="8" max="8" width="11.85546875" style="210" customWidth="1"/>
    <col min="9" max="9" width="10.7109375" style="210" customWidth="1"/>
    <col min="10" max="10" width="12.28515625" style="210" customWidth="1"/>
    <col min="11" max="11" width="11.42578125" style="210" customWidth="1"/>
    <col min="12" max="12" width="13.7109375" style="210" customWidth="1"/>
    <col min="13" max="13" width="13.140625" style="210" customWidth="1"/>
    <col min="14" max="14" width="10.5703125" style="210" customWidth="1"/>
    <col min="15" max="15" width="12" style="210" customWidth="1"/>
    <col min="16" max="19" width="9.140625" style="210"/>
    <col min="20" max="20" width="11.140625" style="210" customWidth="1"/>
    <col min="21" max="21" width="9.140625" style="210"/>
    <col min="22" max="22" width="14.7109375" style="210" customWidth="1"/>
    <col min="23" max="23" width="9.140625" style="210"/>
    <col min="24" max="24" width="15.140625" style="210" customWidth="1"/>
    <col min="25" max="16384" width="9.140625" style="210"/>
  </cols>
  <sheetData>
    <row r="1" spans="1:22" s="207" customFormat="1" ht="16.5" thickBot="1">
      <c r="A1" s="380" t="s">
        <v>65</v>
      </c>
      <c r="B1" s="380"/>
      <c r="C1" s="380"/>
      <c r="D1" s="380"/>
      <c r="E1" s="380"/>
      <c r="F1" s="380"/>
      <c r="G1" s="380"/>
      <c r="H1" s="380"/>
      <c r="I1" s="380"/>
      <c r="J1" s="380"/>
      <c r="K1" s="380"/>
      <c r="L1" s="380"/>
      <c r="M1" s="380"/>
      <c r="N1" s="380"/>
      <c r="O1" s="20"/>
    </row>
    <row r="2" spans="1:22" s="207" customFormat="1" ht="16.5" customHeight="1" thickTop="1">
      <c r="A2" s="375" t="s">
        <v>45</v>
      </c>
      <c r="B2" s="375"/>
      <c r="C2" s="375"/>
      <c r="D2" s="375"/>
      <c r="E2" s="375"/>
      <c r="F2" s="375"/>
      <c r="G2" s="375"/>
      <c r="H2" s="375"/>
      <c r="I2" s="375"/>
      <c r="J2" s="375"/>
      <c r="K2" s="375"/>
      <c r="L2" s="375"/>
      <c r="M2" s="375"/>
      <c r="N2" s="375"/>
      <c r="O2" s="20"/>
    </row>
    <row r="3" spans="1:22">
      <c r="A3" s="229"/>
      <c r="B3" s="230"/>
      <c r="C3" s="230"/>
      <c r="D3" s="230"/>
      <c r="E3" s="27"/>
      <c r="F3" s="27"/>
      <c r="G3" s="27"/>
      <c r="H3" s="27"/>
      <c r="I3" s="27"/>
      <c r="J3" s="27"/>
      <c r="K3" s="27"/>
      <c r="L3" s="27"/>
      <c r="M3" s="27"/>
      <c r="N3" s="27"/>
      <c r="O3" s="27"/>
    </row>
    <row r="4" spans="1:22">
      <c r="A4" s="387" t="s">
        <v>4</v>
      </c>
      <c r="B4" s="387"/>
      <c r="C4" s="384" t="s">
        <v>40</v>
      </c>
      <c r="D4" s="384"/>
      <c r="E4" s="384"/>
      <c r="F4" s="384"/>
      <c r="G4" s="384"/>
      <c r="H4" s="384"/>
      <c r="I4" s="384"/>
      <c r="J4" s="384"/>
      <c r="K4" s="384"/>
      <c r="L4" s="384"/>
      <c r="M4" s="27"/>
      <c r="N4" s="27"/>
      <c r="O4" s="27"/>
    </row>
    <row r="5" spans="1:22">
      <c r="A5" s="387" t="s">
        <v>5</v>
      </c>
      <c r="B5" s="387"/>
      <c r="C5" s="384" t="s">
        <v>41</v>
      </c>
      <c r="D5" s="384"/>
      <c r="E5" s="384"/>
      <c r="F5" s="384"/>
      <c r="G5" s="384"/>
      <c r="H5" s="384"/>
      <c r="I5" s="384"/>
      <c r="J5" s="384"/>
      <c r="K5" s="384"/>
      <c r="L5" s="384"/>
      <c r="M5" s="27"/>
      <c r="N5" s="27"/>
      <c r="O5" s="27"/>
    </row>
    <row r="6" spans="1:22">
      <c r="A6" s="384"/>
      <c r="B6" s="384"/>
      <c r="C6" s="384"/>
      <c r="D6" s="384"/>
      <c r="E6" s="384"/>
      <c r="F6" s="384"/>
      <c r="G6" s="384"/>
      <c r="H6" s="384"/>
      <c r="I6" s="384"/>
      <c r="J6" s="384"/>
      <c r="K6" s="384"/>
      <c r="L6" s="384"/>
      <c r="M6" s="27"/>
      <c r="N6" s="27"/>
      <c r="O6" s="27"/>
    </row>
    <row r="7" spans="1:22" s="207" customFormat="1">
      <c r="A7" s="231"/>
      <c r="B7" s="232"/>
      <c r="C7" s="232"/>
      <c r="D7" s="232"/>
      <c r="E7" s="232"/>
      <c r="F7" s="232"/>
      <c r="G7" s="232"/>
      <c r="H7" s="20"/>
      <c r="I7" s="20"/>
      <c r="J7" s="20"/>
      <c r="K7" s="20"/>
      <c r="L7" s="20"/>
      <c r="M7" s="20"/>
      <c r="N7" s="20"/>
      <c r="O7" s="20"/>
    </row>
    <row r="8" spans="1:22" s="207" customFormat="1">
      <c r="A8" s="20"/>
      <c r="B8" s="22"/>
      <c r="C8" s="22"/>
      <c r="D8" s="22"/>
      <c r="E8" s="20"/>
      <c r="F8" s="20"/>
      <c r="G8" s="20"/>
      <c r="H8" s="20"/>
      <c r="I8" s="20"/>
      <c r="J8" s="20"/>
      <c r="K8" s="233" t="s">
        <v>6</v>
      </c>
      <c r="L8" s="24">
        <f>O25</f>
        <v>333557.40000000002</v>
      </c>
      <c r="M8" s="234" t="s">
        <v>7</v>
      </c>
      <c r="N8" s="20"/>
      <c r="O8" s="20"/>
    </row>
    <row r="9" spans="1:22" s="207" customFormat="1">
      <c r="A9" s="20"/>
      <c r="B9" s="22"/>
      <c r="C9" s="22"/>
      <c r="D9" s="22"/>
      <c r="E9" s="20"/>
      <c r="F9" s="20"/>
      <c r="G9" s="20"/>
      <c r="H9" s="20"/>
      <c r="I9" s="20"/>
      <c r="J9" s="20"/>
      <c r="K9" s="233"/>
      <c r="L9" s="20"/>
      <c r="M9" s="234"/>
      <c r="N9" s="20"/>
      <c r="O9" s="20"/>
    </row>
    <row r="10" spans="1:22" ht="12.75" customHeight="1">
      <c r="A10" s="372" t="s">
        <v>8</v>
      </c>
      <c r="B10" s="373" t="s">
        <v>1</v>
      </c>
      <c r="C10" s="372" t="s">
        <v>2</v>
      </c>
      <c r="D10" s="372" t="s">
        <v>3</v>
      </c>
      <c r="E10" s="373" t="s">
        <v>9</v>
      </c>
      <c r="F10" s="373"/>
      <c r="G10" s="373"/>
      <c r="H10" s="373"/>
      <c r="I10" s="373"/>
      <c r="J10" s="373"/>
      <c r="K10" s="373" t="s">
        <v>10</v>
      </c>
      <c r="L10" s="373"/>
      <c r="M10" s="373"/>
      <c r="N10" s="373"/>
      <c r="O10" s="373"/>
      <c r="P10" s="161"/>
    </row>
    <row r="11" spans="1:22" ht="84.75">
      <c r="A11" s="385"/>
      <c r="B11" s="386"/>
      <c r="C11" s="385"/>
      <c r="D11" s="385"/>
      <c r="E11" s="38" t="s">
        <v>11</v>
      </c>
      <c r="F11" s="105" t="s">
        <v>12</v>
      </c>
      <c r="G11" s="105" t="s">
        <v>17</v>
      </c>
      <c r="H11" s="105" t="s">
        <v>13</v>
      </c>
      <c r="I11" s="105" t="s">
        <v>14</v>
      </c>
      <c r="J11" s="105" t="s">
        <v>15</v>
      </c>
      <c r="K11" s="105" t="s">
        <v>16</v>
      </c>
      <c r="L11" s="105" t="s">
        <v>17</v>
      </c>
      <c r="M11" s="105" t="s">
        <v>13</v>
      </c>
      <c r="N11" s="105" t="s">
        <v>14</v>
      </c>
      <c r="O11" s="105" t="s">
        <v>18</v>
      </c>
      <c r="P11" s="193"/>
      <c r="Q11" s="213" t="s">
        <v>470</v>
      </c>
      <c r="R11" s="213"/>
      <c r="S11" s="213" t="s">
        <v>469</v>
      </c>
      <c r="T11" s="213" t="s">
        <v>472</v>
      </c>
      <c r="U11" s="213"/>
      <c r="V11" s="213" t="s">
        <v>38</v>
      </c>
    </row>
    <row r="12" spans="1:22" ht="48" customHeight="1">
      <c r="A12" s="39"/>
      <c r="B12" s="40" t="s">
        <v>446</v>
      </c>
      <c r="C12" s="39"/>
      <c r="D12" s="41"/>
      <c r="E12" s="42"/>
      <c r="F12" s="42"/>
      <c r="G12" s="43"/>
      <c r="H12" s="42"/>
      <c r="I12" s="44"/>
      <c r="J12" s="45"/>
      <c r="K12" s="46"/>
      <c r="L12" s="44"/>
      <c r="M12" s="44"/>
      <c r="N12" s="44"/>
      <c r="O12" s="30"/>
      <c r="P12" s="193"/>
      <c r="Q12" s="214"/>
      <c r="R12" s="214"/>
      <c r="S12" s="214"/>
      <c r="T12" s="214"/>
      <c r="U12" s="214"/>
      <c r="V12" s="214"/>
    </row>
    <row r="13" spans="1:22">
      <c r="A13" s="36" t="s">
        <v>39</v>
      </c>
      <c r="B13" s="181" t="s">
        <v>47</v>
      </c>
      <c r="C13" s="182" t="s">
        <v>48</v>
      </c>
      <c r="D13" s="237">
        <v>1</v>
      </c>
      <c r="E13" s="48">
        <v>0</v>
      </c>
      <c r="F13" s="48">
        <v>0</v>
      </c>
      <c r="G13" s="49">
        <f>(31120/0.7028*1.3)+3450</f>
        <v>61014.02959590211</v>
      </c>
      <c r="H13" s="48">
        <f>((15100+2600)/0.7028*1.3)+6400</f>
        <v>39140.466704610139</v>
      </c>
      <c r="I13" s="50">
        <f>(380/0.7028*1.3)+56230</f>
        <v>56932.902675014229</v>
      </c>
      <c r="J13" s="51">
        <f>SUM(G13:I13)</f>
        <v>157087.39897552648</v>
      </c>
      <c r="K13" s="52">
        <f>ROUND(D13*E13,2)</f>
        <v>0</v>
      </c>
      <c r="L13" s="50">
        <f>ROUND(D13*G13,2)</f>
        <v>61014.03</v>
      </c>
      <c r="M13" s="50">
        <f>ROUND(D13*H13,2)</f>
        <v>39140.47</v>
      </c>
      <c r="N13" s="50">
        <f>ROUND(D13*I13,2)</f>
        <v>56932.9</v>
      </c>
      <c r="O13" s="28">
        <f>SUM(L13:N13)</f>
        <v>157087.4</v>
      </c>
      <c r="P13" s="193"/>
      <c r="Q13" s="214"/>
      <c r="R13" s="214"/>
      <c r="S13" s="214"/>
      <c r="T13" s="214"/>
      <c r="U13" s="214"/>
      <c r="V13" s="214"/>
    </row>
    <row r="14" spans="1:22">
      <c r="A14" s="273">
        <v>2</v>
      </c>
      <c r="B14" s="181" t="s">
        <v>462</v>
      </c>
      <c r="C14" s="182" t="s">
        <v>48</v>
      </c>
      <c r="D14" s="237">
        <v>1</v>
      </c>
      <c r="E14" s="48">
        <v>0</v>
      </c>
      <c r="F14" s="48">
        <v>0</v>
      </c>
      <c r="G14" s="49">
        <v>13000</v>
      </c>
      <c r="H14" s="48">
        <v>20000</v>
      </c>
      <c r="I14" s="50">
        <v>900</v>
      </c>
      <c r="J14" s="51">
        <f>SUM(G14:I14)</f>
        <v>33900</v>
      </c>
      <c r="K14" s="52">
        <f>ROUND(D14*E14,2)</f>
        <v>0</v>
      </c>
      <c r="L14" s="50">
        <f>ROUND(D14*G14,2)</f>
        <v>13000</v>
      </c>
      <c r="M14" s="50">
        <f>ROUND(D14*H14,2)</f>
        <v>20000</v>
      </c>
      <c r="N14" s="50">
        <f>ROUND(D14*I14,2)</f>
        <v>900</v>
      </c>
      <c r="O14" s="28">
        <f>SUM(L14:N14)</f>
        <v>33900</v>
      </c>
      <c r="P14" s="193"/>
      <c r="Q14" s="214"/>
      <c r="R14" s="214"/>
      <c r="S14" s="214"/>
      <c r="T14" s="214"/>
      <c r="U14" s="214"/>
      <c r="V14" s="214"/>
    </row>
    <row r="15" spans="1:22" ht="31.5">
      <c r="A15" s="39"/>
      <c r="B15" s="40" t="s">
        <v>447</v>
      </c>
      <c r="C15" s="39"/>
      <c r="D15" s="41"/>
      <c r="E15" s="42"/>
      <c r="F15" s="42"/>
      <c r="G15" s="43"/>
      <c r="H15" s="42"/>
      <c r="I15" s="44"/>
      <c r="J15" s="45"/>
      <c r="K15" s="46"/>
      <c r="L15" s="44"/>
      <c r="M15" s="44"/>
      <c r="N15" s="44"/>
      <c r="O15" s="30"/>
      <c r="P15" s="193"/>
      <c r="Q15" s="214"/>
      <c r="R15" s="214"/>
      <c r="S15" s="214"/>
      <c r="T15" s="214"/>
      <c r="U15" s="214"/>
      <c r="V15" s="214"/>
    </row>
    <row r="16" spans="1:22" s="161" customFormat="1" ht="47.25" customHeight="1">
      <c r="A16" s="155">
        <v>1</v>
      </c>
      <c r="B16" s="139" t="s">
        <v>448</v>
      </c>
      <c r="C16" s="141" t="s">
        <v>76</v>
      </c>
      <c r="D16" s="238">
        <v>80</v>
      </c>
      <c r="E16" s="48">
        <v>0</v>
      </c>
      <c r="F16" s="48">
        <v>0</v>
      </c>
      <c r="G16" s="49">
        <v>260</v>
      </c>
      <c r="H16" s="48">
        <v>120</v>
      </c>
      <c r="I16" s="50">
        <v>40</v>
      </c>
      <c r="J16" s="51">
        <f>SUM(G16:I16)</f>
        <v>420</v>
      </c>
      <c r="K16" s="52">
        <f>ROUND(D16*E16,2)</f>
        <v>0</v>
      </c>
      <c r="L16" s="50">
        <f>ROUND(D16*G16,2)</f>
        <v>20800</v>
      </c>
      <c r="M16" s="50">
        <f>ROUND(D16*H16,2)</f>
        <v>9600</v>
      </c>
      <c r="N16" s="50">
        <f>ROUND(D16*I16,2)</f>
        <v>3200</v>
      </c>
      <c r="O16" s="28">
        <f>SUM(L16:N16)</f>
        <v>33600</v>
      </c>
      <c r="P16" s="193"/>
      <c r="Q16" s="197"/>
      <c r="R16" s="197"/>
      <c r="S16" s="197"/>
      <c r="T16" s="197"/>
      <c r="U16" s="197"/>
      <c r="V16" s="197"/>
    </row>
    <row r="17" spans="1:24">
      <c r="A17" s="35"/>
      <c r="B17" s="33" t="s">
        <v>43</v>
      </c>
      <c r="C17" s="32"/>
      <c r="D17" s="53"/>
      <c r="E17" s="42"/>
      <c r="F17" s="42"/>
      <c r="G17" s="43"/>
      <c r="H17" s="42"/>
      <c r="I17" s="44"/>
      <c r="J17" s="45"/>
      <c r="K17" s="46"/>
      <c r="L17" s="44"/>
      <c r="M17" s="44"/>
      <c r="N17" s="44"/>
      <c r="O17" s="30"/>
      <c r="P17" s="193"/>
      <c r="Q17" s="214"/>
      <c r="R17" s="214"/>
      <c r="S17" s="214"/>
      <c r="T17" s="214"/>
      <c r="U17" s="214"/>
      <c r="V17" s="214"/>
    </row>
    <row r="18" spans="1:24" ht="31.5">
      <c r="A18" s="155">
        <v>1</v>
      </c>
      <c r="B18" s="139" t="s">
        <v>449</v>
      </c>
      <c r="C18" s="141" t="s">
        <v>135</v>
      </c>
      <c r="D18" s="238">
        <v>1</v>
      </c>
      <c r="E18" s="48">
        <v>0</v>
      </c>
      <c r="F18" s="48">
        <v>0</v>
      </c>
      <c r="G18" s="49">
        <v>7000</v>
      </c>
      <c r="H18" s="48">
        <v>0</v>
      </c>
      <c r="I18" s="50">
        <v>0</v>
      </c>
      <c r="J18" s="51">
        <f t="shared" ref="J18:J24" si="0">SUM(G18:I18)</f>
        <v>7000</v>
      </c>
      <c r="K18" s="52">
        <f t="shared" ref="K18:K24" si="1">ROUND(D18*E18,2)</f>
        <v>0</v>
      </c>
      <c r="L18" s="50">
        <f t="shared" ref="L18:L24" si="2">ROUND(D18*G18,2)</f>
        <v>7000</v>
      </c>
      <c r="M18" s="50">
        <f t="shared" ref="M18:M24" si="3">ROUND(D18*H18,2)</f>
        <v>0</v>
      </c>
      <c r="N18" s="50">
        <f t="shared" ref="N18:N24" si="4">ROUND(D18*I18,2)</f>
        <v>0</v>
      </c>
      <c r="O18" s="28">
        <f t="shared" ref="O18:O24" si="5">SUM(L18:N18)</f>
        <v>7000</v>
      </c>
      <c r="P18" s="193">
        <v>0.05</v>
      </c>
      <c r="Q18" s="214">
        <f>ROUND(O18*P18,2)</f>
        <v>350</v>
      </c>
      <c r="R18" s="214">
        <v>0.12</v>
      </c>
      <c r="S18" s="214">
        <f>ROUND(O18*R18,2)</f>
        <v>840</v>
      </c>
      <c r="T18" s="197">
        <f>O18+Q18+S18</f>
        <v>8190</v>
      </c>
      <c r="U18" s="214">
        <v>1.21</v>
      </c>
      <c r="V18" s="198">
        <f>ROUND(T18*U18,2)</f>
        <v>9909.9</v>
      </c>
      <c r="X18" s="217">
        <f>V18+V24</f>
        <v>26898.300000000003</v>
      </c>
    </row>
    <row r="19" spans="1:24" ht="31.5">
      <c r="A19" s="155">
        <v>2</v>
      </c>
      <c r="B19" s="139" t="s">
        <v>42</v>
      </c>
      <c r="C19" s="141" t="s">
        <v>44</v>
      </c>
      <c r="D19" s="238">
        <v>12</v>
      </c>
      <c r="E19" s="48">
        <v>0</v>
      </c>
      <c r="F19" s="48">
        <v>0</v>
      </c>
      <c r="G19" s="49">
        <v>4900</v>
      </c>
      <c r="H19" s="48">
        <v>0</v>
      </c>
      <c r="I19" s="50">
        <v>0</v>
      </c>
      <c r="J19" s="51">
        <f t="shared" si="0"/>
        <v>4900</v>
      </c>
      <c r="K19" s="52">
        <f t="shared" si="1"/>
        <v>0</v>
      </c>
      <c r="L19" s="50">
        <f t="shared" si="2"/>
        <v>58800</v>
      </c>
      <c r="M19" s="50">
        <f t="shared" si="3"/>
        <v>0</v>
      </c>
      <c r="N19" s="50">
        <f t="shared" si="4"/>
        <v>0</v>
      </c>
      <c r="O19" s="28">
        <f t="shared" si="5"/>
        <v>58800</v>
      </c>
      <c r="P19" s="193">
        <v>0.05</v>
      </c>
      <c r="Q19" s="214">
        <f t="shared" ref="Q19:Q25" si="6">ROUND(O19*P19,2)</f>
        <v>2940</v>
      </c>
      <c r="R19" s="214">
        <v>0.12</v>
      </c>
      <c r="S19" s="214">
        <f t="shared" ref="S19:S25" si="7">ROUND(O19*R19,2)</f>
        <v>7056</v>
      </c>
      <c r="T19" s="197">
        <f t="shared" ref="T19:T25" si="8">O19+Q19+S19</f>
        <v>68796</v>
      </c>
      <c r="U19" s="214">
        <v>1.21</v>
      </c>
      <c r="V19" s="198">
        <f t="shared" ref="V19:V25" si="9">ROUND(T19*U19,2)</f>
        <v>83243.16</v>
      </c>
    </row>
    <row r="20" spans="1:24" ht="31.5">
      <c r="A20" s="155">
        <v>3</v>
      </c>
      <c r="B20" s="139" t="s">
        <v>450</v>
      </c>
      <c r="C20" s="141" t="s">
        <v>44</v>
      </c>
      <c r="D20" s="238">
        <v>12</v>
      </c>
      <c r="E20" s="48">
        <v>0</v>
      </c>
      <c r="F20" s="48">
        <v>0</v>
      </c>
      <c r="G20" s="49">
        <v>1000</v>
      </c>
      <c r="H20" s="48">
        <v>0</v>
      </c>
      <c r="I20" s="50">
        <v>0</v>
      </c>
      <c r="J20" s="51">
        <f t="shared" si="0"/>
        <v>1000</v>
      </c>
      <c r="K20" s="52">
        <f t="shared" si="1"/>
        <v>0</v>
      </c>
      <c r="L20" s="50">
        <f t="shared" si="2"/>
        <v>12000</v>
      </c>
      <c r="M20" s="50">
        <f t="shared" si="3"/>
        <v>0</v>
      </c>
      <c r="N20" s="50">
        <f t="shared" si="4"/>
        <v>0</v>
      </c>
      <c r="O20" s="28">
        <f t="shared" si="5"/>
        <v>12000</v>
      </c>
      <c r="P20" s="193">
        <v>0.05</v>
      </c>
      <c r="Q20" s="214">
        <f t="shared" si="6"/>
        <v>600</v>
      </c>
      <c r="R20" s="214">
        <v>0.12</v>
      </c>
      <c r="S20" s="214">
        <f t="shared" si="7"/>
        <v>1440</v>
      </c>
      <c r="T20" s="197">
        <f t="shared" si="8"/>
        <v>14040</v>
      </c>
      <c r="U20" s="214">
        <v>1.21</v>
      </c>
      <c r="V20" s="198">
        <f t="shared" si="9"/>
        <v>16988.400000000001</v>
      </c>
      <c r="X20" s="217">
        <f>V20+V21</f>
        <v>19352.620000000003</v>
      </c>
    </row>
    <row r="21" spans="1:24" ht="31.5">
      <c r="A21" s="155">
        <v>4</v>
      </c>
      <c r="B21" s="139" t="s">
        <v>451</v>
      </c>
      <c r="C21" s="141" t="s">
        <v>135</v>
      </c>
      <c r="D21" s="238">
        <v>1</v>
      </c>
      <c r="E21" s="48">
        <v>0</v>
      </c>
      <c r="F21" s="48">
        <v>0</v>
      </c>
      <c r="G21" s="49">
        <v>1670</v>
      </c>
      <c r="H21" s="48">
        <v>0</v>
      </c>
      <c r="I21" s="50">
        <v>0</v>
      </c>
      <c r="J21" s="51">
        <f t="shared" si="0"/>
        <v>1670</v>
      </c>
      <c r="K21" s="52">
        <f t="shared" si="1"/>
        <v>0</v>
      </c>
      <c r="L21" s="50">
        <f t="shared" si="2"/>
        <v>1670</v>
      </c>
      <c r="M21" s="50">
        <f t="shared" si="3"/>
        <v>0</v>
      </c>
      <c r="N21" s="50">
        <f t="shared" si="4"/>
        <v>0</v>
      </c>
      <c r="O21" s="28">
        <f t="shared" si="5"/>
        <v>1670</v>
      </c>
      <c r="P21" s="193">
        <v>0.05</v>
      </c>
      <c r="Q21" s="214">
        <f t="shared" si="6"/>
        <v>83.5</v>
      </c>
      <c r="R21" s="214">
        <v>0.12</v>
      </c>
      <c r="S21" s="214">
        <f t="shared" si="7"/>
        <v>200.4</v>
      </c>
      <c r="T21" s="197">
        <f t="shared" si="8"/>
        <v>1953.9</v>
      </c>
      <c r="U21" s="214">
        <v>1.21</v>
      </c>
      <c r="V21" s="198">
        <f t="shared" si="9"/>
        <v>2364.2199999999998</v>
      </c>
    </row>
    <row r="22" spans="1:24" ht="31.5">
      <c r="A22" s="155">
        <v>5</v>
      </c>
      <c r="B22" s="139" t="s">
        <v>139</v>
      </c>
      <c r="C22" s="141" t="s">
        <v>135</v>
      </c>
      <c r="D22" s="238">
        <v>1</v>
      </c>
      <c r="E22" s="48">
        <v>0</v>
      </c>
      <c r="F22" s="48">
        <v>0</v>
      </c>
      <c r="G22" s="49">
        <v>4500</v>
      </c>
      <c r="H22" s="48">
        <v>0</v>
      </c>
      <c r="I22" s="50">
        <v>0</v>
      </c>
      <c r="J22" s="51">
        <f t="shared" si="0"/>
        <v>4500</v>
      </c>
      <c r="K22" s="52">
        <f t="shared" si="1"/>
        <v>0</v>
      </c>
      <c r="L22" s="50">
        <f t="shared" si="2"/>
        <v>4500</v>
      </c>
      <c r="M22" s="50">
        <f t="shared" si="3"/>
        <v>0</v>
      </c>
      <c r="N22" s="50">
        <f t="shared" si="4"/>
        <v>0</v>
      </c>
      <c r="O22" s="28">
        <f t="shared" si="5"/>
        <v>4500</v>
      </c>
      <c r="P22" s="193">
        <v>0.05</v>
      </c>
      <c r="Q22" s="214">
        <f t="shared" si="6"/>
        <v>225</v>
      </c>
      <c r="R22" s="214">
        <v>0.12</v>
      </c>
      <c r="S22" s="214">
        <f t="shared" si="7"/>
        <v>540</v>
      </c>
      <c r="T22" s="197">
        <f t="shared" si="8"/>
        <v>5265</v>
      </c>
      <c r="U22" s="214">
        <v>1.21</v>
      </c>
      <c r="V22" s="198">
        <f t="shared" si="9"/>
        <v>6370.65</v>
      </c>
      <c r="X22" s="217">
        <f>V22+V23</f>
        <v>24774.75</v>
      </c>
    </row>
    <row r="23" spans="1:24" ht="31.5">
      <c r="A23" s="155">
        <v>6</v>
      </c>
      <c r="B23" s="139" t="s">
        <v>174</v>
      </c>
      <c r="C23" s="141" t="s">
        <v>135</v>
      </c>
      <c r="D23" s="238">
        <v>1</v>
      </c>
      <c r="E23" s="48">
        <v>0</v>
      </c>
      <c r="F23" s="48">
        <v>0</v>
      </c>
      <c r="G23" s="49">
        <v>13000</v>
      </c>
      <c r="H23" s="48">
        <v>0</v>
      </c>
      <c r="I23" s="50">
        <v>0</v>
      </c>
      <c r="J23" s="51">
        <f>SUM(G23:I23)</f>
        <v>13000</v>
      </c>
      <c r="K23" s="52">
        <f t="shared" si="1"/>
        <v>0</v>
      </c>
      <c r="L23" s="50">
        <f t="shared" si="2"/>
        <v>13000</v>
      </c>
      <c r="M23" s="50">
        <f t="shared" si="3"/>
        <v>0</v>
      </c>
      <c r="N23" s="50">
        <f t="shared" si="4"/>
        <v>0</v>
      </c>
      <c r="O23" s="28">
        <f t="shared" si="5"/>
        <v>13000</v>
      </c>
      <c r="P23" s="193">
        <v>0.05</v>
      </c>
      <c r="Q23" s="214">
        <f t="shared" si="6"/>
        <v>650</v>
      </c>
      <c r="R23" s="214">
        <v>0.12</v>
      </c>
      <c r="S23" s="214">
        <f t="shared" si="7"/>
        <v>1560</v>
      </c>
      <c r="T23" s="197">
        <f t="shared" si="8"/>
        <v>15210</v>
      </c>
      <c r="U23" s="214">
        <v>1.21</v>
      </c>
      <c r="V23" s="198">
        <f t="shared" si="9"/>
        <v>18404.099999999999</v>
      </c>
    </row>
    <row r="24" spans="1:24">
      <c r="A24" s="155">
        <v>7</v>
      </c>
      <c r="B24" s="139" t="s">
        <v>452</v>
      </c>
      <c r="C24" s="135" t="s">
        <v>135</v>
      </c>
      <c r="D24" s="238">
        <v>1</v>
      </c>
      <c r="E24" s="48">
        <v>0</v>
      </c>
      <c r="F24" s="48">
        <v>0</v>
      </c>
      <c r="G24" s="49">
        <v>12000</v>
      </c>
      <c r="H24" s="48">
        <v>0</v>
      </c>
      <c r="I24" s="50">
        <v>0</v>
      </c>
      <c r="J24" s="51">
        <f t="shared" si="0"/>
        <v>12000</v>
      </c>
      <c r="K24" s="52">
        <f t="shared" si="1"/>
        <v>0</v>
      </c>
      <c r="L24" s="50">
        <f t="shared" si="2"/>
        <v>12000</v>
      </c>
      <c r="M24" s="50">
        <f t="shared" si="3"/>
        <v>0</v>
      </c>
      <c r="N24" s="50">
        <f t="shared" si="4"/>
        <v>0</v>
      </c>
      <c r="O24" s="28">
        <f t="shared" si="5"/>
        <v>12000</v>
      </c>
      <c r="P24" s="193">
        <v>0.05</v>
      </c>
      <c r="Q24" s="214">
        <f t="shared" si="6"/>
        <v>600</v>
      </c>
      <c r="R24" s="214">
        <v>0.12</v>
      </c>
      <c r="S24" s="214">
        <f t="shared" si="7"/>
        <v>1440</v>
      </c>
      <c r="T24" s="197">
        <f t="shared" si="8"/>
        <v>14040</v>
      </c>
      <c r="U24" s="214">
        <v>1.21</v>
      </c>
      <c r="V24" s="198">
        <f t="shared" si="9"/>
        <v>16988.400000000001</v>
      </c>
    </row>
    <row r="25" spans="1:24">
      <c r="A25" s="382" t="s">
        <v>19</v>
      </c>
      <c r="B25" s="382"/>
      <c r="C25" s="382"/>
      <c r="D25" s="382"/>
      <c r="E25" s="382"/>
      <c r="F25" s="382"/>
      <c r="G25" s="382"/>
      <c r="H25" s="382"/>
      <c r="I25" s="382"/>
      <c r="J25" s="382"/>
      <c r="K25" s="34">
        <f>SUM(K13:K24)</f>
        <v>0</v>
      </c>
      <c r="L25" s="34">
        <f>SUM(L13:L24)</f>
        <v>203784.03</v>
      </c>
      <c r="M25" s="34">
        <f>SUM(M13:M24)</f>
        <v>68740.47</v>
      </c>
      <c r="N25" s="34">
        <f>SUM(N13:N24)</f>
        <v>61032.9</v>
      </c>
      <c r="O25" s="34">
        <f>SUM(O13:O24)</f>
        <v>333557.40000000002</v>
      </c>
      <c r="P25" s="193">
        <v>0.05</v>
      </c>
      <c r="Q25" s="214">
        <f t="shared" si="6"/>
        <v>16677.87</v>
      </c>
      <c r="R25" s="214">
        <v>0.12</v>
      </c>
      <c r="S25" s="214">
        <f t="shared" si="7"/>
        <v>40026.89</v>
      </c>
      <c r="T25" s="197">
        <f t="shared" si="8"/>
        <v>390262.16000000003</v>
      </c>
      <c r="U25" s="214">
        <v>1.21</v>
      </c>
      <c r="V25" s="198">
        <f t="shared" si="9"/>
        <v>472217.21</v>
      </c>
    </row>
    <row r="26" spans="1:24">
      <c r="A26" s="211"/>
      <c r="B26" s="218"/>
      <c r="C26" s="219"/>
      <c r="D26" s="220"/>
      <c r="E26" s="221"/>
      <c r="F26" s="221"/>
      <c r="G26" s="221"/>
      <c r="H26" s="221"/>
      <c r="I26" s="222"/>
      <c r="J26" s="221"/>
      <c r="K26" s="223"/>
      <c r="L26" s="223"/>
      <c r="M26" s="223"/>
      <c r="N26" s="223"/>
      <c r="O26" s="223"/>
    </row>
    <row r="27" spans="1:24">
      <c r="A27" s="224"/>
      <c r="B27" s="225"/>
      <c r="C27" s="210"/>
      <c r="D27" s="211"/>
      <c r="E27" s="211"/>
      <c r="F27" s="211"/>
      <c r="G27" s="226"/>
      <c r="I27" s="211"/>
      <c r="J27" s="211"/>
      <c r="K27" s="211"/>
      <c r="L27" s="211"/>
      <c r="M27" s="211"/>
      <c r="N27" s="211"/>
      <c r="O27" s="211"/>
      <c r="V27" s="217">
        <f>V25-X18-X20-X22</f>
        <v>401191.54000000004</v>
      </c>
    </row>
    <row r="28" spans="1:24">
      <c r="A28" s="209"/>
      <c r="B28" s="225"/>
      <c r="C28" s="210"/>
      <c r="D28" s="211"/>
      <c r="E28" s="211"/>
      <c r="F28" s="211"/>
      <c r="G28" s="226"/>
      <c r="H28" s="383"/>
      <c r="I28" s="383"/>
      <c r="J28" s="211"/>
      <c r="K28" s="211"/>
      <c r="L28" s="211"/>
      <c r="M28" s="211"/>
      <c r="N28" s="211"/>
      <c r="O28" s="211"/>
    </row>
    <row r="29" spans="1:24">
      <c r="A29" s="381"/>
      <c r="B29" s="381"/>
      <c r="C29" s="210"/>
      <c r="D29" s="211"/>
      <c r="E29" s="211"/>
      <c r="F29" s="211"/>
      <c r="G29" s="211"/>
      <c r="H29" s="211"/>
      <c r="I29" s="211"/>
      <c r="J29" s="211"/>
      <c r="K29" s="211"/>
      <c r="L29" s="211"/>
      <c r="M29" s="211"/>
      <c r="N29" s="211"/>
      <c r="O29" s="211"/>
    </row>
    <row r="30" spans="1:24">
      <c r="A30" s="209"/>
      <c r="B30" s="225"/>
      <c r="C30" s="210"/>
      <c r="D30" s="211"/>
      <c r="E30" s="211"/>
      <c r="F30" s="211"/>
      <c r="G30" s="226"/>
      <c r="H30" s="211"/>
      <c r="I30" s="211"/>
      <c r="J30" s="211"/>
      <c r="K30" s="211"/>
      <c r="L30" s="211"/>
      <c r="M30" s="211"/>
      <c r="N30" s="211"/>
      <c r="O30" s="211"/>
    </row>
    <row r="31" spans="1:24">
      <c r="A31" s="224"/>
      <c r="B31" s="225"/>
      <c r="C31" s="210"/>
      <c r="D31" s="211"/>
      <c r="E31" s="211"/>
      <c r="F31" s="211"/>
      <c r="G31" s="211"/>
      <c r="H31" s="381"/>
      <c r="I31" s="381"/>
      <c r="J31" s="211"/>
      <c r="K31" s="211"/>
      <c r="L31" s="211"/>
      <c r="M31" s="211"/>
      <c r="N31" s="211"/>
      <c r="O31" s="211"/>
    </row>
    <row r="32" spans="1:24">
      <c r="A32" s="209"/>
      <c r="B32" s="225"/>
      <c r="C32" s="210"/>
      <c r="D32" s="211"/>
      <c r="E32" s="211"/>
      <c r="F32" s="211"/>
      <c r="G32" s="226"/>
      <c r="H32" s="383"/>
      <c r="I32" s="383"/>
      <c r="J32" s="211"/>
      <c r="K32" s="211"/>
      <c r="L32" s="211"/>
      <c r="M32" s="211"/>
      <c r="N32" s="211"/>
      <c r="O32" s="211"/>
    </row>
    <row r="33" spans="1:15">
      <c r="A33" s="381"/>
      <c r="B33" s="381"/>
      <c r="C33" s="210"/>
      <c r="D33" s="211"/>
      <c r="E33" s="211"/>
      <c r="F33" s="211"/>
      <c r="G33" s="211"/>
      <c r="H33" s="211"/>
      <c r="I33" s="211"/>
      <c r="J33" s="211"/>
      <c r="K33" s="211"/>
      <c r="L33" s="211"/>
      <c r="M33" s="211"/>
      <c r="N33" s="211"/>
      <c r="O33" s="211"/>
    </row>
  </sheetData>
  <mergeCells count="20">
    <mergeCell ref="A1:N1"/>
    <mergeCell ref="A2:N2"/>
    <mergeCell ref="A4:B4"/>
    <mergeCell ref="C4:L4"/>
    <mergeCell ref="A5:B5"/>
    <mergeCell ref="C5:L5"/>
    <mergeCell ref="A6:B6"/>
    <mergeCell ref="C6:L6"/>
    <mergeCell ref="A10:A11"/>
    <mergeCell ref="B10:B11"/>
    <mergeCell ref="C10:C11"/>
    <mergeCell ref="D10:D11"/>
    <mergeCell ref="E10:J10"/>
    <mergeCell ref="K10:O10"/>
    <mergeCell ref="A33:B33"/>
    <mergeCell ref="A25:J25"/>
    <mergeCell ref="H28:I28"/>
    <mergeCell ref="A29:B29"/>
    <mergeCell ref="H31:I31"/>
    <mergeCell ref="H32:I32"/>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W31"/>
  <sheetViews>
    <sheetView topLeftCell="A4" zoomScale="50" zoomScaleNormal="50" workbookViewId="0">
      <selection activeCell="W32" sqref="W32"/>
    </sheetView>
  </sheetViews>
  <sheetFormatPr defaultColWidth="9.140625" defaultRowHeight="15.75"/>
  <cols>
    <col min="1" max="1" width="5.7109375" style="227" customWidth="1"/>
    <col min="2" max="2" width="34.85546875" style="210" customWidth="1"/>
    <col min="3" max="3" width="6.28515625" style="209" customWidth="1"/>
    <col min="4" max="4" width="11.42578125" style="209" customWidth="1"/>
    <col min="5" max="5" width="9.5703125" style="228" customWidth="1"/>
    <col min="6" max="6" width="7.28515625" style="210" customWidth="1"/>
    <col min="7" max="7" width="10.85546875" style="210" customWidth="1"/>
    <col min="8" max="8" width="11.85546875" style="210" customWidth="1"/>
    <col min="9" max="9" width="10.7109375" style="210" customWidth="1"/>
    <col min="10" max="10" width="12.28515625" style="210" customWidth="1"/>
    <col min="11" max="11" width="11.42578125" style="210" customWidth="1"/>
    <col min="12" max="12" width="13.7109375" style="210" customWidth="1"/>
    <col min="13" max="13" width="13.140625" style="210" customWidth="1"/>
    <col min="14" max="14" width="10.5703125" style="210" customWidth="1"/>
    <col min="15" max="15" width="12" style="210" customWidth="1"/>
    <col min="16" max="19" width="9.140625" style="210"/>
    <col min="20" max="20" width="11.85546875" style="210" customWidth="1"/>
    <col min="21" max="21" width="9.140625" style="210"/>
    <col min="22" max="22" width="15.28515625" style="210" customWidth="1"/>
    <col min="23" max="23" width="13.140625" style="210" customWidth="1"/>
    <col min="24" max="16384" width="9.140625" style="210"/>
  </cols>
  <sheetData>
    <row r="1" spans="1:23" s="207" customFormat="1" ht="16.5" thickBot="1">
      <c r="A1" s="380" t="s">
        <v>66</v>
      </c>
      <c r="B1" s="380"/>
      <c r="C1" s="380"/>
      <c r="D1" s="380"/>
      <c r="E1" s="380"/>
      <c r="F1" s="380"/>
      <c r="G1" s="380"/>
      <c r="H1" s="380"/>
      <c r="I1" s="380"/>
      <c r="J1" s="380"/>
      <c r="K1" s="380"/>
      <c r="L1" s="380"/>
      <c r="M1" s="380"/>
      <c r="N1" s="380"/>
      <c r="O1" s="20"/>
    </row>
    <row r="2" spans="1:23" s="207" customFormat="1" ht="16.5" customHeight="1" thickTop="1">
      <c r="A2" s="375" t="s">
        <v>45</v>
      </c>
      <c r="B2" s="375"/>
      <c r="C2" s="375"/>
      <c r="D2" s="375"/>
      <c r="E2" s="375"/>
      <c r="F2" s="375"/>
      <c r="G2" s="375"/>
      <c r="H2" s="375"/>
      <c r="I2" s="375"/>
      <c r="J2" s="375"/>
      <c r="K2" s="375"/>
      <c r="L2" s="375"/>
      <c r="M2" s="375"/>
      <c r="N2" s="375"/>
      <c r="O2" s="20"/>
    </row>
    <row r="3" spans="1:23">
      <c r="A3" s="229"/>
      <c r="B3" s="230"/>
      <c r="C3" s="230"/>
      <c r="D3" s="230"/>
      <c r="E3" s="27"/>
      <c r="F3" s="27"/>
      <c r="G3" s="27"/>
      <c r="H3" s="27"/>
      <c r="I3" s="27"/>
      <c r="J3" s="27"/>
      <c r="K3" s="27"/>
      <c r="L3" s="27"/>
      <c r="M3" s="27"/>
      <c r="N3" s="27"/>
      <c r="O3" s="27"/>
    </row>
    <row r="4" spans="1:23">
      <c r="A4" s="387" t="s">
        <v>4</v>
      </c>
      <c r="B4" s="387"/>
      <c r="C4" s="384" t="s">
        <v>40</v>
      </c>
      <c r="D4" s="384"/>
      <c r="E4" s="384"/>
      <c r="F4" s="384"/>
      <c r="G4" s="384"/>
      <c r="H4" s="384"/>
      <c r="I4" s="384"/>
      <c r="J4" s="384"/>
      <c r="K4" s="384"/>
      <c r="L4" s="384"/>
      <c r="M4" s="27"/>
      <c r="N4" s="27"/>
      <c r="O4" s="27"/>
    </row>
    <row r="5" spans="1:23">
      <c r="A5" s="387" t="s">
        <v>5</v>
      </c>
      <c r="B5" s="387"/>
      <c r="C5" s="384" t="s">
        <v>41</v>
      </c>
      <c r="D5" s="384"/>
      <c r="E5" s="384"/>
      <c r="F5" s="384"/>
      <c r="G5" s="384"/>
      <c r="H5" s="384"/>
      <c r="I5" s="384"/>
      <c r="J5" s="384"/>
      <c r="K5" s="384"/>
      <c r="L5" s="384"/>
      <c r="M5" s="27"/>
      <c r="N5" s="27"/>
      <c r="O5" s="27"/>
    </row>
    <row r="6" spans="1:23">
      <c r="A6" s="384"/>
      <c r="B6" s="384"/>
      <c r="C6" s="384"/>
      <c r="D6" s="384"/>
      <c r="E6" s="384"/>
      <c r="F6" s="384"/>
      <c r="G6" s="384"/>
      <c r="H6" s="384"/>
      <c r="I6" s="384"/>
      <c r="J6" s="384"/>
      <c r="K6" s="384"/>
      <c r="L6" s="384"/>
      <c r="M6" s="27"/>
      <c r="N6" s="27"/>
      <c r="O6" s="27"/>
    </row>
    <row r="7" spans="1:23" s="207" customFormat="1">
      <c r="A7" s="231"/>
      <c r="B7" s="232"/>
      <c r="C7" s="232"/>
      <c r="D7" s="232"/>
      <c r="E7" s="232"/>
      <c r="F7" s="232"/>
      <c r="G7" s="232"/>
      <c r="H7" s="20"/>
      <c r="I7" s="20"/>
      <c r="J7" s="20"/>
      <c r="K7" s="20"/>
      <c r="L7" s="20"/>
      <c r="M7" s="20"/>
      <c r="N7" s="20"/>
      <c r="O7" s="20"/>
    </row>
    <row r="8" spans="1:23" s="207" customFormat="1">
      <c r="A8" s="20"/>
      <c r="B8" s="22"/>
      <c r="C8" s="22"/>
      <c r="D8" s="22"/>
      <c r="E8" s="20"/>
      <c r="F8" s="20"/>
      <c r="G8" s="20"/>
      <c r="H8" s="20"/>
      <c r="I8" s="20"/>
      <c r="J8" s="20"/>
      <c r="K8" s="233" t="s">
        <v>6</v>
      </c>
      <c r="L8" s="24">
        <f>O23</f>
        <v>431622.30000000005</v>
      </c>
      <c r="M8" s="234" t="s">
        <v>7</v>
      </c>
      <c r="N8" s="20"/>
      <c r="O8" s="20"/>
    </row>
    <row r="9" spans="1:23" s="207" customFormat="1">
      <c r="A9" s="20"/>
      <c r="B9" s="22"/>
      <c r="C9" s="22"/>
      <c r="D9" s="22"/>
      <c r="E9" s="20"/>
      <c r="F9" s="20"/>
      <c r="G9" s="20"/>
      <c r="H9" s="20"/>
      <c r="I9" s="20"/>
      <c r="J9" s="20"/>
      <c r="K9" s="233"/>
      <c r="L9" s="20"/>
      <c r="M9" s="234"/>
      <c r="N9" s="20"/>
      <c r="O9" s="20"/>
    </row>
    <row r="10" spans="1:23" ht="12.75" customHeight="1">
      <c r="A10" s="372" t="s">
        <v>8</v>
      </c>
      <c r="B10" s="373" t="s">
        <v>1</v>
      </c>
      <c r="C10" s="372" t="s">
        <v>2</v>
      </c>
      <c r="D10" s="372" t="s">
        <v>3</v>
      </c>
      <c r="E10" s="373" t="s">
        <v>9</v>
      </c>
      <c r="F10" s="373"/>
      <c r="G10" s="373"/>
      <c r="H10" s="373"/>
      <c r="I10" s="373"/>
      <c r="J10" s="373"/>
      <c r="K10" s="373" t="s">
        <v>10</v>
      </c>
      <c r="L10" s="373"/>
      <c r="M10" s="373"/>
      <c r="N10" s="373"/>
      <c r="O10" s="373"/>
      <c r="P10" s="161"/>
    </row>
    <row r="11" spans="1:23" ht="82.5">
      <c r="A11" s="385"/>
      <c r="B11" s="386"/>
      <c r="C11" s="385"/>
      <c r="D11" s="385"/>
      <c r="E11" s="38" t="s">
        <v>11</v>
      </c>
      <c r="F11" s="105" t="s">
        <v>12</v>
      </c>
      <c r="G11" s="105" t="s">
        <v>17</v>
      </c>
      <c r="H11" s="105" t="s">
        <v>13</v>
      </c>
      <c r="I11" s="105" t="s">
        <v>14</v>
      </c>
      <c r="J11" s="105" t="s">
        <v>15</v>
      </c>
      <c r="K11" s="105" t="s">
        <v>16</v>
      </c>
      <c r="L11" s="105" t="s">
        <v>17</v>
      </c>
      <c r="M11" s="105" t="s">
        <v>13</v>
      </c>
      <c r="N11" s="105" t="s">
        <v>14</v>
      </c>
      <c r="O11" s="105" t="s">
        <v>18</v>
      </c>
      <c r="P11" s="193"/>
      <c r="Q11" s="213" t="s">
        <v>470</v>
      </c>
      <c r="R11" s="213"/>
      <c r="S11" s="213" t="s">
        <v>469</v>
      </c>
      <c r="T11" s="213" t="s">
        <v>473</v>
      </c>
      <c r="U11" s="213"/>
      <c r="V11" s="213" t="s">
        <v>38</v>
      </c>
    </row>
    <row r="12" spans="1:23" ht="31.5" customHeight="1">
      <c r="A12" s="39"/>
      <c r="B12" s="40" t="s">
        <v>453</v>
      </c>
      <c r="C12" s="39"/>
      <c r="D12" s="41"/>
      <c r="E12" s="42"/>
      <c r="F12" s="42"/>
      <c r="G12" s="43"/>
      <c r="H12" s="42"/>
      <c r="I12" s="44"/>
      <c r="J12" s="45"/>
      <c r="K12" s="46"/>
      <c r="L12" s="44"/>
      <c r="M12" s="44"/>
      <c r="N12" s="44"/>
      <c r="O12" s="30"/>
      <c r="P12" s="193"/>
      <c r="Q12" s="214"/>
      <c r="R12" s="214"/>
      <c r="S12" s="214"/>
      <c r="T12" s="214"/>
      <c r="U12" s="214"/>
      <c r="V12" s="214"/>
    </row>
    <row r="13" spans="1:23" ht="19.5" customHeight="1">
      <c r="A13" s="93" t="s">
        <v>39</v>
      </c>
      <c r="B13" s="278" t="s">
        <v>47</v>
      </c>
      <c r="C13" s="279" t="s">
        <v>48</v>
      </c>
      <c r="D13" s="280">
        <v>1</v>
      </c>
      <c r="E13" s="42">
        <v>0</v>
      </c>
      <c r="F13" s="42">
        <v>0</v>
      </c>
      <c r="G13" s="43">
        <f>(56400/0.7028*1.3)+3450</f>
        <v>107775.55492316448</v>
      </c>
      <c r="H13" s="42">
        <f>((21850)/0.7028*1.3)+6400</f>
        <v>46816.90381331816</v>
      </c>
      <c r="I13" s="44">
        <f>(600/0.7028*1.3)+56230</f>
        <v>57339.846328969834</v>
      </c>
      <c r="J13" s="45">
        <f>SUM(G13:I13)</f>
        <v>211932.3050654525</v>
      </c>
      <c r="K13" s="46">
        <f>ROUND(D13*E13,2)</f>
        <v>0</v>
      </c>
      <c r="L13" s="44">
        <f>ROUND(D13*G13,2)</f>
        <v>107775.55</v>
      </c>
      <c r="M13" s="44">
        <f>ROUND(D13*H13,2)</f>
        <v>46816.9</v>
      </c>
      <c r="N13" s="44">
        <f>ROUND(D13*I13,2)</f>
        <v>57339.85</v>
      </c>
      <c r="O13" s="30">
        <f>SUM(L13:N13)</f>
        <v>211932.30000000002</v>
      </c>
      <c r="P13" s="193"/>
      <c r="Q13" s="214"/>
      <c r="R13" s="214"/>
      <c r="S13" s="214"/>
      <c r="T13" s="214"/>
      <c r="U13" s="214"/>
      <c r="V13" s="214"/>
    </row>
    <row r="14" spans="1:23" ht="31.5">
      <c r="A14" s="273">
        <v>2</v>
      </c>
      <c r="B14" s="181" t="s">
        <v>463</v>
      </c>
      <c r="C14" s="182" t="s">
        <v>48</v>
      </c>
      <c r="D14" s="237">
        <v>1</v>
      </c>
      <c r="E14" s="48">
        <v>0</v>
      </c>
      <c r="F14" s="48">
        <v>0</v>
      </c>
      <c r="G14" s="49">
        <f>31000+20000</f>
        <v>51000</v>
      </c>
      <c r="H14" s="48">
        <f>50000+8900</f>
        <v>58900</v>
      </c>
      <c r="I14" s="50">
        <v>820</v>
      </c>
      <c r="J14" s="51">
        <f>SUM(G14:I14)</f>
        <v>110720</v>
      </c>
      <c r="K14" s="52">
        <f>ROUND(D14*E14,2)</f>
        <v>0</v>
      </c>
      <c r="L14" s="50">
        <f>ROUND(D14*G14,2)</f>
        <v>51000</v>
      </c>
      <c r="M14" s="50">
        <f>ROUND(D14*H14,2)</f>
        <v>58900</v>
      </c>
      <c r="N14" s="50">
        <f>ROUND(D14*I14,2)</f>
        <v>820</v>
      </c>
      <c r="O14" s="28">
        <f>SUM(L14:N14)</f>
        <v>110720</v>
      </c>
      <c r="P14" s="193"/>
      <c r="Q14" s="214"/>
      <c r="R14" s="214"/>
      <c r="S14" s="214"/>
      <c r="T14" s="214"/>
      <c r="U14" s="214"/>
      <c r="V14" s="214"/>
    </row>
    <row r="15" spans="1:23">
      <c r="A15" s="155"/>
      <c r="B15" s="156" t="s">
        <v>43</v>
      </c>
      <c r="C15" s="141"/>
      <c r="D15" s="238"/>
      <c r="E15" s="48"/>
      <c r="F15" s="48"/>
      <c r="G15" s="49"/>
      <c r="H15" s="48"/>
      <c r="I15" s="50"/>
      <c r="J15" s="51"/>
      <c r="K15" s="52"/>
      <c r="L15" s="50"/>
      <c r="M15" s="50"/>
      <c r="N15" s="50"/>
      <c r="O15" s="28"/>
      <c r="P15" s="193"/>
      <c r="Q15" s="214"/>
      <c r="R15" s="214"/>
      <c r="S15" s="214"/>
      <c r="T15" s="214"/>
      <c r="U15" s="214"/>
      <c r="V15" s="214"/>
    </row>
    <row r="16" spans="1:23" ht="31.5">
      <c r="A16" s="155">
        <v>1</v>
      </c>
      <c r="B16" s="139" t="s">
        <v>454</v>
      </c>
      <c r="C16" s="141" t="s">
        <v>135</v>
      </c>
      <c r="D16" s="238">
        <v>1</v>
      </c>
      <c r="E16" s="48">
        <v>0</v>
      </c>
      <c r="F16" s="48">
        <v>0</v>
      </c>
      <c r="G16" s="49">
        <v>7000</v>
      </c>
      <c r="H16" s="48">
        <v>0</v>
      </c>
      <c r="I16" s="50">
        <v>0</v>
      </c>
      <c r="J16" s="51">
        <f t="shared" ref="J16:J22" si="0">SUM(G16:I16)</f>
        <v>7000</v>
      </c>
      <c r="K16" s="52">
        <f t="shared" ref="K16:K22" si="1">ROUND(D16*E16,2)</f>
        <v>0</v>
      </c>
      <c r="L16" s="50">
        <f t="shared" ref="L16:L22" si="2">ROUND(D16*G16,2)</f>
        <v>7000</v>
      </c>
      <c r="M16" s="50">
        <f t="shared" ref="M16:M22" si="3">ROUND(D16*H16,2)</f>
        <v>0</v>
      </c>
      <c r="N16" s="50">
        <f t="shared" ref="N16:N22" si="4">ROUND(D16*I16,2)</f>
        <v>0</v>
      </c>
      <c r="O16" s="28">
        <f t="shared" ref="O16:O22" si="5">SUM(L16:N16)</f>
        <v>7000</v>
      </c>
      <c r="P16" s="193">
        <v>0.05</v>
      </c>
      <c r="Q16" s="214">
        <f>ROUND(O16*P16,2)</f>
        <v>350</v>
      </c>
      <c r="R16" s="214">
        <v>0.12</v>
      </c>
      <c r="S16" s="214">
        <f>ROUND(O16*R16,2)</f>
        <v>840</v>
      </c>
      <c r="T16" s="197">
        <f>O16+Q16+S16</f>
        <v>8190</v>
      </c>
      <c r="U16" s="214">
        <v>1.21</v>
      </c>
      <c r="V16" s="198">
        <f>ROUND(T16*U16,2)</f>
        <v>9909.9</v>
      </c>
      <c r="W16" s="217">
        <f>V16+V22</f>
        <v>26898.300000000003</v>
      </c>
    </row>
    <row r="17" spans="1:23" ht="31.5">
      <c r="A17" s="155">
        <v>2</v>
      </c>
      <c r="B17" s="139" t="s">
        <v>42</v>
      </c>
      <c r="C17" s="141" t="s">
        <v>44</v>
      </c>
      <c r="D17" s="238">
        <v>12</v>
      </c>
      <c r="E17" s="48">
        <v>0</v>
      </c>
      <c r="F17" s="48">
        <v>0</v>
      </c>
      <c r="G17" s="49">
        <v>4900</v>
      </c>
      <c r="H17" s="48">
        <v>0</v>
      </c>
      <c r="I17" s="50">
        <v>0</v>
      </c>
      <c r="J17" s="51">
        <f t="shared" si="0"/>
        <v>4900</v>
      </c>
      <c r="K17" s="52">
        <f t="shared" si="1"/>
        <v>0</v>
      </c>
      <c r="L17" s="50">
        <f t="shared" si="2"/>
        <v>58800</v>
      </c>
      <c r="M17" s="50">
        <f t="shared" si="3"/>
        <v>0</v>
      </c>
      <c r="N17" s="50">
        <f t="shared" si="4"/>
        <v>0</v>
      </c>
      <c r="O17" s="28">
        <f t="shared" si="5"/>
        <v>58800</v>
      </c>
      <c r="P17" s="193">
        <v>0.05</v>
      </c>
      <c r="Q17" s="214">
        <f t="shared" ref="Q17:Q23" si="6">ROUND(O17*P17,2)</f>
        <v>2940</v>
      </c>
      <c r="R17" s="214">
        <v>0.12</v>
      </c>
      <c r="S17" s="214">
        <f t="shared" ref="S17:S23" si="7">ROUND(O17*R17,2)</f>
        <v>7056</v>
      </c>
      <c r="T17" s="197">
        <f t="shared" ref="T17:T23" si="8">O17+Q17+S17</f>
        <v>68796</v>
      </c>
      <c r="U17" s="214">
        <v>1.21</v>
      </c>
      <c r="V17" s="198">
        <f t="shared" ref="V17:V23" si="9">ROUND(T17*U17,2)</f>
        <v>83243.16</v>
      </c>
    </row>
    <row r="18" spans="1:23" ht="31.5">
      <c r="A18" s="155">
        <v>3</v>
      </c>
      <c r="B18" s="139" t="s">
        <v>455</v>
      </c>
      <c r="C18" s="141" t="s">
        <v>44</v>
      </c>
      <c r="D18" s="238">
        <v>12</v>
      </c>
      <c r="E18" s="48">
        <v>0</v>
      </c>
      <c r="F18" s="48">
        <v>0</v>
      </c>
      <c r="G18" s="49">
        <v>1000</v>
      </c>
      <c r="H18" s="48">
        <v>0</v>
      </c>
      <c r="I18" s="50">
        <v>0</v>
      </c>
      <c r="J18" s="51">
        <f t="shared" si="0"/>
        <v>1000</v>
      </c>
      <c r="K18" s="52">
        <f t="shared" si="1"/>
        <v>0</v>
      </c>
      <c r="L18" s="50">
        <f t="shared" si="2"/>
        <v>12000</v>
      </c>
      <c r="M18" s="50">
        <f t="shared" si="3"/>
        <v>0</v>
      </c>
      <c r="N18" s="50">
        <f t="shared" si="4"/>
        <v>0</v>
      </c>
      <c r="O18" s="28">
        <f t="shared" si="5"/>
        <v>12000</v>
      </c>
      <c r="P18" s="193">
        <v>0.05</v>
      </c>
      <c r="Q18" s="214">
        <f t="shared" si="6"/>
        <v>600</v>
      </c>
      <c r="R18" s="214">
        <v>0.12</v>
      </c>
      <c r="S18" s="214">
        <f t="shared" si="7"/>
        <v>1440</v>
      </c>
      <c r="T18" s="197">
        <f t="shared" si="8"/>
        <v>14040</v>
      </c>
      <c r="U18" s="214">
        <v>1.21</v>
      </c>
      <c r="V18" s="198">
        <f t="shared" si="9"/>
        <v>16988.400000000001</v>
      </c>
      <c r="W18" s="217">
        <f>V18+V19</f>
        <v>19352.620000000003</v>
      </c>
    </row>
    <row r="19" spans="1:23" ht="31.5">
      <c r="A19" s="155">
        <v>4</v>
      </c>
      <c r="B19" s="139" t="s">
        <v>451</v>
      </c>
      <c r="C19" s="141" t="s">
        <v>135</v>
      </c>
      <c r="D19" s="238">
        <v>1</v>
      </c>
      <c r="E19" s="48">
        <v>0</v>
      </c>
      <c r="F19" s="48">
        <v>0</v>
      </c>
      <c r="G19" s="49">
        <v>1670</v>
      </c>
      <c r="H19" s="48">
        <v>0</v>
      </c>
      <c r="I19" s="50">
        <v>0</v>
      </c>
      <c r="J19" s="51">
        <f t="shared" si="0"/>
        <v>1670</v>
      </c>
      <c r="K19" s="52">
        <f t="shared" si="1"/>
        <v>0</v>
      </c>
      <c r="L19" s="50">
        <f t="shared" si="2"/>
        <v>1670</v>
      </c>
      <c r="M19" s="50">
        <f t="shared" si="3"/>
        <v>0</v>
      </c>
      <c r="N19" s="50">
        <f t="shared" si="4"/>
        <v>0</v>
      </c>
      <c r="O19" s="28">
        <f t="shared" si="5"/>
        <v>1670</v>
      </c>
      <c r="P19" s="193">
        <v>0.05</v>
      </c>
      <c r="Q19" s="214">
        <f t="shared" si="6"/>
        <v>83.5</v>
      </c>
      <c r="R19" s="214">
        <v>0.12</v>
      </c>
      <c r="S19" s="214">
        <f t="shared" si="7"/>
        <v>200.4</v>
      </c>
      <c r="T19" s="197">
        <f t="shared" si="8"/>
        <v>1953.9</v>
      </c>
      <c r="U19" s="214">
        <v>1.21</v>
      </c>
      <c r="V19" s="198">
        <f t="shared" si="9"/>
        <v>2364.2199999999998</v>
      </c>
    </row>
    <row r="20" spans="1:23" ht="31.5">
      <c r="A20" s="155">
        <v>5</v>
      </c>
      <c r="B20" s="139" t="s">
        <v>139</v>
      </c>
      <c r="C20" s="141" t="s">
        <v>135</v>
      </c>
      <c r="D20" s="238">
        <v>1</v>
      </c>
      <c r="E20" s="48">
        <v>0</v>
      </c>
      <c r="F20" s="48">
        <v>0</v>
      </c>
      <c r="G20" s="49">
        <v>4500</v>
      </c>
      <c r="H20" s="48">
        <v>0</v>
      </c>
      <c r="I20" s="50">
        <v>0</v>
      </c>
      <c r="J20" s="51">
        <f t="shared" si="0"/>
        <v>4500</v>
      </c>
      <c r="K20" s="52">
        <f t="shared" si="1"/>
        <v>0</v>
      </c>
      <c r="L20" s="50">
        <f t="shared" si="2"/>
        <v>4500</v>
      </c>
      <c r="M20" s="50">
        <f t="shared" si="3"/>
        <v>0</v>
      </c>
      <c r="N20" s="50">
        <f t="shared" si="4"/>
        <v>0</v>
      </c>
      <c r="O20" s="28">
        <f t="shared" si="5"/>
        <v>4500</v>
      </c>
      <c r="P20" s="193">
        <v>0.05</v>
      </c>
      <c r="Q20" s="214">
        <f t="shared" si="6"/>
        <v>225</v>
      </c>
      <c r="R20" s="214">
        <v>0.12</v>
      </c>
      <c r="S20" s="214">
        <f t="shared" si="7"/>
        <v>540</v>
      </c>
      <c r="T20" s="197">
        <f t="shared" si="8"/>
        <v>5265</v>
      </c>
      <c r="U20" s="214">
        <v>1.21</v>
      </c>
      <c r="V20" s="198">
        <f t="shared" si="9"/>
        <v>6370.65</v>
      </c>
      <c r="W20" s="217">
        <f>V20+V21</f>
        <v>24774.75</v>
      </c>
    </row>
    <row r="21" spans="1:23" ht="31.5">
      <c r="A21" s="155">
        <v>6</v>
      </c>
      <c r="B21" s="139" t="s">
        <v>174</v>
      </c>
      <c r="C21" s="141" t="s">
        <v>135</v>
      </c>
      <c r="D21" s="238">
        <v>1</v>
      </c>
      <c r="E21" s="48">
        <v>0</v>
      </c>
      <c r="F21" s="48">
        <v>0</v>
      </c>
      <c r="G21" s="49">
        <v>13000</v>
      </c>
      <c r="H21" s="48">
        <v>0</v>
      </c>
      <c r="I21" s="50">
        <v>0</v>
      </c>
      <c r="J21" s="51">
        <f>SUM(G21:I21)</f>
        <v>13000</v>
      </c>
      <c r="K21" s="52">
        <f t="shared" si="1"/>
        <v>0</v>
      </c>
      <c r="L21" s="50">
        <f t="shared" si="2"/>
        <v>13000</v>
      </c>
      <c r="M21" s="50">
        <f t="shared" si="3"/>
        <v>0</v>
      </c>
      <c r="N21" s="50">
        <f t="shared" si="4"/>
        <v>0</v>
      </c>
      <c r="O21" s="28">
        <f t="shared" si="5"/>
        <v>13000</v>
      </c>
      <c r="P21" s="193">
        <v>0.05</v>
      </c>
      <c r="Q21" s="214">
        <f t="shared" si="6"/>
        <v>650</v>
      </c>
      <c r="R21" s="214">
        <v>0.12</v>
      </c>
      <c r="S21" s="214">
        <f t="shared" si="7"/>
        <v>1560</v>
      </c>
      <c r="T21" s="197">
        <f t="shared" si="8"/>
        <v>15210</v>
      </c>
      <c r="U21" s="214">
        <v>1.21</v>
      </c>
      <c r="V21" s="198">
        <f t="shared" si="9"/>
        <v>18404.099999999999</v>
      </c>
    </row>
    <row r="22" spans="1:23">
      <c r="A22" s="155">
        <v>7</v>
      </c>
      <c r="B22" s="139" t="s">
        <v>456</v>
      </c>
      <c r="C22" s="135" t="s">
        <v>135</v>
      </c>
      <c r="D22" s="238">
        <v>1</v>
      </c>
      <c r="E22" s="48">
        <v>0</v>
      </c>
      <c r="F22" s="48">
        <v>0</v>
      </c>
      <c r="G22" s="49">
        <v>12000</v>
      </c>
      <c r="H22" s="48">
        <v>0</v>
      </c>
      <c r="I22" s="50">
        <v>0</v>
      </c>
      <c r="J22" s="51">
        <f t="shared" si="0"/>
        <v>12000</v>
      </c>
      <c r="K22" s="52">
        <f t="shared" si="1"/>
        <v>0</v>
      </c>
      <c r="L22" s="50">
        <f t="shared" si="2"/>
        <v>12000</v>
      </c>
      <c r="M22" s="50">
        <f t="shared" si="3"/>
        <v>0</v>
      </c>
      <c r="N22" s="50">
        <f t="shared" si="4"/>
        <v>0</v>
      </c>
      <c r="O22" s="28">
        <f t="shared" si="5"/>
        <v>12000</v>
      </c>
      <c r="P22" s="193">
        <v>0.05</v>
      </c>
      <c r="Q22" s="214">
        <f t="shared" si="6"/>
        <v>600</v>
      </c>
      <c r="R22" s="214">
        <v>0.12</v>
      </c>
      <c r="S22" s="214">
        <f t="shared" si="7"/>
        <v>1440</v>
      </c>
      <c r="T22" s="197">
        <f t="shared" si="8"/>
        <v>14040</v>
      </c>
      <c r="U22" s="214">
        <v>1.21</v>
      </c>
      <c r="V22" s="198">
        <f t="shared" si="9"/>
        <v>16988.400000000001</v>
      </c>
    </row>
    <row r="23" spans="1:23">
      <c r="A23" s="382" t="s">
        <v>19</v>
      </c>
      <c r="B23" s="382"/>
      <c r="C23" s="382"/>
      <c r="D23" s="382"/>
      <c r="E23" s="382"/>
      <c r="F23" s="382"/>
      <c r="G23" s="382"/>
      <c r="H23" s="382"/>
      <c r="I23" s="382"/>
      <c r="J23" s="382"/>
      <c r="K23" s="34">
        <f>SUM(K13:K22)</f>
        <v>0</v>
      </c>
      <c r="L23" s="34">
        <f>SUM(L13:L22)</f>
        <v>267745.55</v>
      </c>
      <c r="M23" s="34">
        <f>SUM(M13:M22)</f>
        <v>105716.9</v>
      </c>
      <c r="N23" s="34">
        <f>SUM(N13:N22)</f>
        <v>58159.85</v>
      </c>
      <c r="O23" s="34">
        <f>SUM(O13:O22)</f>
        <v>431622.30000000005</v>
      </c>
      <c r="P23" s="193">
        <v>0.05</v>
      </c>
      <c r="Q23" s="214">
        <f t="shared" si="6"/>
        <v>21581.119999999999</v>
      </c>
      <c r="R23" s="214">
        <v>0.12</v>
      </c>
      <c r="S23" s="214">
        <f t="shared" si="7"/>
        <v>51794.68</v>
      </c>
      <c r="T23" s="197">
        <f t="shared" si="8"/>
        <v>504998.10000000003</v>
      </c>
      <c r="U23" s="214">
        <v>1.21</v>
      </c>
      <c r="V23" s="198">
        <f t="shared" si="9"/>
        <v>611047.69999999995</v>
      </c>
    </row>
    <row r="24" spans="1:23">
      <c r="A24" s="211"/>
      <c r="B24" s="218"/>
      <c r="C24" s="219"/>
      <c r="D24" s="220"/>
      <c r="E24" s="221"/>
      <c r="F24" s="221"/>
      <c r="G24" s="221"/>
      <c r="H24" s="221"/>
      <c r="I24" s="222"/>
      <c r="J24" s="221"/>
      <c r="K24" s="223"/>
      <c r="L24" s="223"/>
      <c r="M24" s="223"/>
      <c r="N24" s="223"/>
      <c r="O24" s="223"/>
    </row>
    <row r="25" spans="1:23">
      <c r="A25" s="224"/>
      <c r="B25" s="225"/>
      <c r="C25" s="210"/>
      <c r="D25" s="211"/>
      <c r="E25" s="211"/>
      <c r="F25" s="211"/>
      <c r="G25" s="226"/>
      <c r="I25" s="211"/>
      <c r="J25" s="211"/>
      <c r="K25" s="211"/>
      <c r="L25" s="211"/>
      <c r="M25" s="211"/>
      <c r="N25" s="211"/>
      <c r="O25" s="211"/>
      <c r="V25" s="217">
        <f>V23-W16-W18-W20</f>
        <v>540022.02999999991</v>
      </c>
    </row>
    <row r="26" spans="1:23">
      <c r="A26" s="209"/>
      <c r="B26" s="225"/>
      <c r="C26" s="210"/>
      <c r="D26" s="211"/>
      <c r="E26" s="211"/>
      <c r="F26" s="211"/>
      <c r="G26" s="226"/>
      <c r="H26" s="383"/>
      <c r="I26" s="383"/>
      <c r="J26" s="211"/>
      <c r="K26" s="211"/>
      <c r="L26" s="211"/>
      <c r="M26" s="211"/>
      <c r="N26" s="211"/>
      <c r="O26" s="211"/>
    </row>
    <row r="27" spans="1:23">
      <c r="A27" s="381"/>
      <c r="B27" s="381"/>
      <c r="C27" s="210"/>
      <c r="D27" s="211"/>
      <c r="E27" s="211"/>
      <c r="F27" s="211"/>
      <c r="G27" s="211"/>
      <c r="H27" s="211"/>
      <c r="I27" s="211"/>
      <c r="J27" s="211"/>
      <c r="K27" s="211"/>
      <c r="L27" s="211"/>
      <c r="M27" s="211"/>
      <c r="N27" s="211"/>
      <c r="O27" s="211"/>
    </row>
    <row r="28" spans="1:23">
      <c r="A28" s="209"/>
      <c r="B28" s="225"/>
      <c r="C28" s="210"/>
      <c r="D28" s="211"/>
      <c r="E28" s="211"/>
      <c r="F28" s="211"/>
      <c r="G28" s="226"/>
      <c r="H28" s="211"/>
      <c r="I28" s="211"/>
      <c r="J28" s="211"/>
      <c r="K28" s="211"/>
      <c r="L28" s="211"/>
      <c r="M28" s="211"/>
      <c r="N28" s="211"/>
      <c r="O28" s="211"/>
    </row>
    <row r="29" spans="1:23">
      <c r="A29" s="224"/>
      <c r="B29" s="225"/>
      <c r="C29" s="210"/>
      <c r="D29" s="211"/>
      <c r="E29" s="211"/>
      <c r="F29" s="211"/>
      <c r="G29" s="211"/>
      <c r="H29" s="381"/>
      <c r="I29" s="381"/>
      <c r="J29" s="211"/>
      <c r="K29" s="211"/>
      <c r="L29" s="211"/>
      <c r="M29" s="211"/>
      <c r="N29" s="211"/>
      <c r="O29" s="211"/>
    </row>
    <row r="30" spans="1:23">
      <c r="A30" s="209"/>
      <c r="B30" s="225"/>
      <c r="C30" s="210"/>
      <c r="D30" s="211"/>
      <c r="E30" s="211"/>
      <c r="F30" s="211"/>
      <c r="G30" s="226"/>
      <c r="H30" s="383"/>
      <c r="I30" s="383"/>
      <c r="J30" s="211"/>
      <c r="K30" s="211"/>
      <c r="L30" s="211"/>
      <c r="M30" s="211"/>
      <c r="N30" s="211"/>
      <c r="O30" s="211"/>
    </row>
    <row r="31" spans="1:23">
      <c r="A31" s="381"/>
      <c r="B31" s="381"/>
      <c r="C31" s="210"/>
      <c r="D31" s="211"/>
      <c r="E31" s="211"/>
      <c r="F31" s="211"/>
      <c r="G31" s="211"/>
      <c r="H31" s="211"/>
      <c r="I31" s="211"/>
      <c r="J31" s="211"/>
      <c r="K31" s="211"/>
      <c r="L31" s="211"/>
      <c r="M31" s="211"/>
      <c r="N31" s="211"/>
      <c r="O31" s="211"/>
    </row>
  </sheetData>
  <mergeCells count="20">
    <mergeCell ref="A1:N1"/>
    <mergeCell ref="A2:N2"/>
    <mergeCell ref="A4:B4"/>
    <mergeCell ref="C4:L4"/>
    <mergeCell ref="A5:B5"/>
    <mergeCell ref="C5:L5"/>
    <mergeCell ref="A6:B6"/>
    <mergeCell ref="C6:L6"/>
    <mergeCell ref="A10:A11"/>
    <mergeCell ref="B10:B11"/>
    <mergeCell ref="C10:C11"/>
    <mergeCell ref="D10:D11"/>
    <mergeCell ref="E10:J10"/>
    <mergeCell ref="K10:O10"/>
    <mergeCell ref="A31:B31"/>
    <mergeCell ref="A23:J23"/>
    <mergeCell ref="H26:I26"/>
    <mergeCell ref="A27:B27"/>
    <mergeCell ref="H29:I29"/>
    <mergeCell ref="H30:I30"/>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29"/>
  <sheetViews>
    <sheetView zoomScale="50" zoomScaleNormal="50" workbookViewId="0">
      <selection activeCell="U31" sqref="U31"/>
    </sheetView>
  </sheetViews>
  <sheetFormatPr defaultColWidth="9.140625" defaultRowHeight="15.75"/>
  <cols>
    <col min="1" max="1" width="5.7109375" style="227" customWidth="1"/>
    <col min="2" max="2" width="34.85546875" style="210" customWidth="1"/>
    <col min="3" max="3" width="6.28515625" style="209" customWidth="1"/>
    <col min="4" max="4" width="11.42578125" style="209" customWidth="1"/>
    <col min="5" max="5" width="9.5703125" style="228" customWidth="1"/>
    <col min="6" max="6" width="7.28515625" style="210" customWidth="1"/>
    <col min="7" max="7" width="10.85546875" style="210" customWidth="1"/>
    <col min="8" max="8" width="11.85546875" style="210" customWidth="1"/>
    <col min="9" max="9" width="10.7109375" style="210" customWidth="1"/>
    <col min="10" max="10" width="12.28515625" style="210" customWidth="1"/>
    <col min="11" max="11" width="11.42578125" style="210" customWidth="1"/>
    <col min="12" max="12" width="13.7109375" style="210" customWidth="1"/>
    <col min="13" max="13" width="13.140625" style="210" customWidth="1"/>
    <col min="14" max="14" width="10.5703125" style="210" customWidth="1"/>
    <col min="15" max="15" width="12" style="210" customWidth="1"/>
    <col min="16" max="19" width="9.140625" style="210"/>
    <col min="20" max="20" width="11.5703125" style="210" customWidth="1"/>
    <col min="21" max="21" width="9.140625" style="210"/>
    <col min="22" max="22" width="17.5703125" style="210" customWidth="1"/>
    <col min="23" max="23" width="14.85546875" style="210" customWidth="1"/>
    <col min="24" max="16384" width="9.140625" style="210"/>
  </cols>
  <sheetData>
    <row r="1" spans="1:22" s="207" customFormat="1" ht="16.5" thickBot="1">
      <c r="A1" s="380" t="s">
        <v>67</v>
      </c>
      <c r="B1" s="380"/>
      <c r="C1" s="380"/>
      <c r="D1" s="380"/>
      <c r="E1" s="380"/>
      <c r="F1" s="380"/>
      <c r="G1" s="380"/>
      <c r="H1" s="380"/>
      <c r="I1" s="380"/>
      <c r="J1" s="380"/>
      <c r="K1" s="380"/>
      <c r="L1" s="380"/>
      <c r="M1" s="380"/>
      <c r="N1" s="380"/>
      <c r="O1" s="20"/>
    </row>
    <row r="2" spans="1:22" s="207" customFormat="1" ht="16.5" customHeight="1" thickTop="1">
      <c r="A2" s="375" t="s">
        <v>45</v>
      </c>
      <c r="B2" s="375"/>
      <c r="C2" s="375"/>
      <c r="D2" s="375"/>
      <c r="E2" s="375"/>
      <c r="F2" s="375"/>
      <c r="G2" s="375"/>
      <c r="H2" s="375"/>
      <c r="I2" s="375"/>
      <c r="J2" s="375"/>
      <c r="K2" s="375"/>
      <c r="L2" s="375"/>
      <c r="M2" s="375"/>
      <c r="N2" s="375"/>
      <c r="O2" s="20"/>
    </row>
    <row r="3" spans="1:22">
      <c r="A3" s="229"/>
      <c r="B3" s="230"/>
      <c r="C3" s="230"/>
      <c r="D3" s="230"/>
      <c r="E3" s="27"/>
      <c r="F3" s="27"/>
      <c r="G3" s="27"/>
      <c r="H3" s="27"/>
      <c r="I3" s="27"/>
      <c r="J3" s="27"/>
      <c r="K3" s="27"/>
      <c r="L3" s="27"/>
      <c r="M3" s="27"/>
      <c r="N3" s="27"/>
      <c r="O3" s="27"/>
    </row>
    <row r="4" spans="1:22">
      <c r="A4" s="387" t="s">
        <v>4</v>
      </c>
      <c r="B4" s="387"/>
      <c r="C4" s="384" t="s">
        <v>40</v>
      </c>
      <c r="D4" s="384"/>
      <c r="E4" s="384"/>
      <c r="F4" s="384"/>
      <c r="G4" s="384"/>
      <c r="H4" s="384"/>
      <c r="I4" s="384"/>
      <c r="J4" s="384"/>
      <c r="K4" s="384"/>
      <c r="L4" s="384"/>
      <c r="M4" s="27"/>
      <c r="N4" s="27"/>
      <c r="O4" s="27"/>
    </row>
    <row r="5" spans="1:22">
      <c r="A5" s="387" t="s">
        <v>5</v>
      </c>
      <c r="B5" s="387"/>
      <c r="C5" s="384" t="s">
        <v>41</v>
      </c>
      <c r="D5" s="384"/>
      <c r="E5" s="384"/>
      <c r="F5" s="384"/>
      <c r="G5" s="384"/>
      <c r="H5" s="384"/>
      <c r="I5" s="384"/>
      <c r="J5" s="384"/>
      <c r="K5" s="384"/>
      <c r="L5" s="384"/>
      <c r="M5" s="27"/>
      <c r="N5" s="27"/>
      <c r="O5" s="27"/>
    </row>
    <row r="6" spans="1:22">
      <c r="A6" s="384"/>
      <c r="B6" s="384"/>
      <c r="C6" s="384"/>
      <c r="D6" s="384"/>
      <c r="E6" s="384"/>
      <c r="F6" s="384"/>
      <c r="G6" s="384"/>
      <c r="H6" s="384"/>
      <c r="I6" s="384"/>
      <c r="J6" s="384"/>
      <c r="K6" s="384"/>
      <c r="L6" s="384"/>
      <c r="M6" s="27"/>
      <c r="N6" s="27"/>
      <c r="O6" s="27"/>
    </row>
    <row r="7" spans="1:22" s="207" customFormat="1">
      <c r="A7" s="231"/>
      <c r="B7" s="232"/>
      <c r="C7" s="232"/>
      <c r="D7" s="232"/>
      <c r="E7" s="232"/>
      <c r="F7" s="232"/>
      <c r="G7" s="232"/>
      <c r="H7" s="20"/>
      <c r="I7" s="20"/>
      <c r="J7" s="20"/>
      <c r="K7" s="20"/>
      <c r="L7" s="20"/>
      <c r="M7" s="20"/>
      <c r="N7" s="20"/>
      <c r="O7" s="20"/>
    </row>
    <row r="8" spans="1:22" s="207" customFormat="1">
      <c r="A8" s="20"/>
      <c r="B8" s="22"/>
      <c r="C8" s="22"/>
      <c r="D8" s="22"/>
      <c r="E8" s="20"/>
      <c r="F8" s="20"/>
      <c r="G8" s="20"/>
      <c r="H8" s="20"/>
      <c r="I8" s="20"/>
      <c r="J8" s="20"/>
      <c r="K8" s="233" t="s">
        <v>6</v>
      </c>
      <c r="L8" s="24">
        <f>O21</f>
        <v>824565.2</v>
      </c>
      <c r="M8" s="234" t="s">
        <v>7</v>
      </c>
      <c r="N8" s="20"/>
      <c r="O8" s="20"/>
    </row>
    <row r="9" spans="1:22" s="207" customFormat="1">
      <c r="A9" s="20"/>
      <c r="B9" s="22"/>
      <c r="C9" s="22"/>
      <c r="D9" s="22"/>
      <c r="E9" s="20"/>
      <c r="F9" s="20"/>
      <c r="G9" s="20"/>
      <c r="H9" s="20"/>
      <c r="I9" s="20"/>
      <c r="J9" s="20"/>
      <c r="K9" s="233"/>
      <c r="L9" s="20"/>
      <c r="M9" s="234"/>
      <c r="N9" s="20"/>
      <c r="O9" s="20"/>
    </row>
    <row r="10" spans="1:22" ht="12.75" customHeight="1">
      <c r="A10" s="372" t="s">
        <v>8</v>
      </c>
      <c r="B10" s="373" t="s">
        <v>1</v>
      </c>
      <c r="C10" s="372" t="s">
        <v>2</v>
      </c>
      <c r="D10" s="372" t="s">
        <v>3</v>
      </c>
      <c r="E10" s="373" t="s">
        <v>9</v>
      </c>
      <c r="F10" s="373"/>
      <c r="G10" s="373"/>
      <c r="H10" s="373"/>
      <c r="I10" s="373"/>
      <c r="J10" s="373"/>
      <c r="K10" s="373" t="s">
        <v>10</v>
      </c>
      <c r="L10" s="373"/>
      <c r="M10" s="373"/>
      <c r="N10" s="373"/>
      <c r="O10" s="373"/>
      <c r="P10" s="161"/>
    </row>
    <row r="11" spans="1:22" ht="84.75">
      <c r="A11" s="385"/>
      <c r="B11" s="386"/>
      <c r="C11" s="385"/>
      <c r="D11" s="385"/>
      <c r="E11" s="38" t="s">
        <v>11</v>
      </c>
      <c r="F11" s="105" t="s">
        <v>12</v>
      </c>
      <c r="G11" s="105" t="s">
        <v>17</v>
      </c>
      <c r="H11" s="105" t="s">
        <v>13</v>
      </c>
      <c r="I11" s="105" t="s">
        <v>14</v>
      </c>
      <c r="J11" s="105" t="s">
        <v>15</v>
      </c>
      <c r="K11" s="105" t="s">
        <v>16</v>
      </c>
      <c r="L11" s="105" t="s">
        <v>17</v>
      </c>
      <c r="M11" s="105" t="s">
        <v>13</v>
      </c>
      <c r="N11" s="105" t="s">
        <v>14</v>
      </c>
      <c r="O11" s="105" t="s">
        <v>18</v>
      </c>
      <c r="P11" s="193"/>
      <c r="Q11" s="213" t="s">
        <v>470</v>
      </c>
      <c r="R11" s="213"/>
      <c r="S11" s="213" t="s">
        <v>469</v>
      </c>
      <c r="T11" s="213" t="s">
        <v>472</v>
      </c>
      <c r="U11" s="213"/>
      <c r="V11" s="213" t="s">
        <v>38</v>
      </c>
    </row>
    <row r="12" spans="1:22" ht="66" customHeight="1">
      <c r="A12" s="39"/>
      <c r="B12" s="40" t="s">
        <v>457</v>
      </c>
      <c r="C12" s="39"/>
      <c r="D12" s="41"/>
      <c r="E12" s="42"/>
      <c r="F12" s="42"/>
      <c r="G12" s="43"/>
      <c r="H12" s="42"/>
      <c r="I12" s="44"/>
      <c r="J12" s="45"/>
      <c r="K12" s="46"/>
      <c r="L12" s="44"/>
      <c r="M12" s="44"/>
      <c r="N12" s="44"/>
      <c r="O12" s="30"/>
      <c r="P12" s="193"/>
      <c r="Q12" s="214"/>
      <c r="R12" s="214"/>
      <c r="S12" s="214"/>
      <c r="T12" s="214"/>
      <c r="U12" s="214"/>
      <c r="V12" s="214"/>
    </row>
    <row r="13" spans="1:22" ht="19.5" customHeight="1">
      <c r="A13" s="36" t="s">
        <v>39</v>
      </c>
      <c r="B13" s="277" t="s">
        <v>47</v>
      </c>
      <c r="C13" s="182" t="s">
        <v>48</v>
      </c>
      <c r="D13" s="237">
        <v>1</v>
      </c>
      <c r="E13" s="48">
        <v>0</v>
      </c>
      <c r="F13" s="48">
        <v>0</v>
      </c>
      <c r="G13" s="49">
        <f>(58330/0.7028*1.3)+3450</f>
        <v>111345.56061468413</v>
      </c>
      <c r="H13" s="48">
        <f>((21750)/0.7028*1.3)+6400</f>
        <v>46631.929425156522</v>
      </c>
      <c r="I13" s="50">
        <f>(400/0.7028*1.3)+56230</f>
        <v>56969.897552646558</v>
      </c>
      <c r="J13" s="51">
        <f>SUM(G13:I13)</f>
        <v>214947.38759248721</v>
      </c>
      <c r="K13" s="52">
        <f>ROUND(D13*E13,2)</f>
        <v>0</v>
      </c>
      <c r="L13" s="50">
        <f>ROUND(D13*G13,2)</f>
        <v>111345.56</v>
      </c>
      <c r="M13" s="50">
        <f>ROUND(D13*H13,2)</f>
        <v>46631.93</v>
      </c>
      <c r="N13" s="50">
        <f>ROUND(D13*I13,2)</f>
        <v>56969.9</v>
      </c>
      <c r="O13" s="28">
        <f>SUM(L13:N13)</f>
        <v>214947.38999999998</v>
      </c>
      <c r="P13" s="193"/>
      <c r="Q13" s="214"/>
      <c r="R13" s="214"/>
      <c r="S13" s="214"/>
      <c r="T13" s="214"/>
      <c r="U13" s="214"/>
      <c r="V13" s="214"/>
    </row>
    <row r="14" spans="1:22" ht="31.5">
      <c r="A14" s="273">
        <v>2</v>
      </c>
      <c r="B14" s="181" t="s">
        <v>463</v>
      </c>
      <c r="C14" s="182" t="s">
        <v>48</v>
      </c>
      <c r="D14" s="237">
        <v>1</v>
      </c>
      <c r="E14" s="48">
        <v>0</v>
      </c>
      <c r="F14" s="48">
        <v>0</v>
      </c>
      <c r="G14" s="49">
        <v>35000</v>
      </c>
      <c r="H14" s="48">
        <f>82000+5900+31500</f>
        <v>119400</v>
      </c>
      <c r="I14" s="50">
        <v>800</v>
      </c>
      <c r="J14" s="51">
        <f>SUM(G14:I14)</f>
        <v>155200</v>
      </c>
      <c r="K14" s="52">
        <f>ROUND(D14*E14,2)</f>
        <v>0</v>
      </c>
      <c r="L14" s="50">
        <f>ROUND(D14*G14,2)</f>
        <v>35000</v>
      </c>
      <c r="M14" s="50">
        <f>ROUND(D14*H14,2)</f>
        <v>119400</v>
      </c>
      <c r="N14" s="50">
        <f>ROUND(D14*I14,2)</f>
        <v>800</v>
      </c>
      <c r="O14" s="28">
        <f>SUM(L14:N14)</f>
        <v>155200</v>
      </c>
      <c r="P14" s="193"/>
      <c r="Q14" s="214"/>
      <c r="R14" s="214"/>
      <c r="S14" s="214"/>
      <c r="T14" s="214"/>
      <c r="U14" s="214"/>
      <c r="V14" s="214"/>
    </row>
    <row r="15" spans="1:22" ht="19.5" customHeight="1">
      <c r="A15" s="39"/>
      <c r="B15" s="40" t="s">
        <v>458</v>
      </c>
      <c r="C15" s="39"/>
      <c r="D15" s="41"/>
      <c r="E15" s="42"/>
      <c r="F15" s="42"/>
      <c r="G15" s="43"/>
      <c r="H15" s="42"/>
      <c r="I15" s="44"/>
      <c r="J15" s="45"/>
      <c r="K15" s="46"/>
      <c r="L15" s="44"/>
      <c r="M15" s="44"/>
      <c r="N15" s="44"/>
      <c r="O15" s="30"/>
      <c r="P15" s="193"/>
      <c r="Q15" s="214"/>
      <c r="R15" s="214"/>
      <c r="S15" s="214"/>
      <c r="T15" s="214"/>
      <c r="U15" s="214"/>
      <c r="V15" s="214"/>
    </row>
    <row r="16" spans="1:22" ht="49.5" customHeight="1">
      <c r="A16" s="36" t="s">
        <v>39</v>
      </c>
      <c r="B16" s="277" t="s">
        <v>459</v>
      </c>
      <c r="C16" s="182" t="s">
        <v>48</v>
      </c>
      <c r="D16" s="237">
        <v>1</v>
      </c>
      <c r="E16" s="48">
        <v>0</v>
      </c>
      <c r="F16" s="48">
        <v>0</v>
      </c>
      <c r="G16" s="264">
        <f>471547.36/2</f>
        <v>235773.68</v>
      </c>
      <c r="H16" s="264">
        <f>221978.3/2</f>
        <v>110989.15</v>
      </c>
      <c r="I16" s="264">
        <f>59709.96/2</f>
        <v>29854.98</v>
      </c>
      <c r="J16" s="51">
        <f>SUM(G16:I16)</f>
        <v>376617.80999999994</v>
      </c>
      <c r="K16" s="52">
        <f>ROUND(D16*E16,2)</f>
        <v>0</v>
      </c>
      <c r="L16" s="50">
        <f>ROUND(D16*G16,2)</f>
        <v>235773.68</v>
      </c>
      <c r="M16" s="50">
        <f>ROUND(D16*H16,2)</f>
        <v>110989.15</v>
      </c>
      <c r="N16" s="50">
        <f>ROUND(D16*I16,2)</f>
        <v>29854.98</v>
      </c>
      <c r="O16" s="28">
        <f>SUM(L16:N16)</f>
        <v>376617.80999999994</v>
      </c>
      <c r="P16" s="193"/>
      <c r="Q16" s="214"/>
      <c r="R16" s="214"/>
      <c r="S16" s="214"/>
      <c r="T16" s="214"/>
      <c r="U16" s="214"/>
      <c r="V16" s="214"/>
    </row>
    <row r="17" spans="1:23">
      <c r="A17" s="35"/>
      <c r="B17" s="33" t="s">
        <v>43</v>
      </c>
      <c r="C17" s="32"/>
      <c r="D17" s="53"/>
      <c r="E17" s="42"/>
      <c r="F17" s="42"/>
      <c r="G17" s="43"/>
      <c r="H17" s="55"/>
      <c r="I17" s="43"/>
      <c r="J17" s="45"/>
      <c r="K17" s="46"/>
      <c r="L17" s="44"/>
      <c r="M17" s="44"/>
      <c r="N17" s="44"/>
      <c r="O17" s="30"/>
      <c r="P17" s="193"/>
      <c r="Q17" s="214"/>
      <c r="R17" s="214"/>
      <c r="S17" s="214"/>
      <c r="T17" s="214"/>
      <c r="U17" s="214"/>
      <c r="V17" s="214"/>
    </row>
    <row r="18" spans="1:23" ht="31.5">
      <c r="A18" s="155">
        <v>1</v>
      </c>
      <c r="B18" s="139" t="s">
        <v>460</v>
      </c>
      <c r="C18" s="141" t="s">
        <v>135</v>
      </c>
      <c r="D18" s="238">
        <v>1</v>
      </c>
      <c r="E18" s="48">
        <v>0</v>
      </c>
      <c r="F18" s="48">
        <v>0</v>
      </c>
      <c r="G18" s="49">
        <v>7000</v>
      </c>
      <c r="H18" s="48">
        <v>0</v>
      </c>
      <c r="I18" s="50">
        <v>0</v>
      </c>
      <c r="J18" s="51">
        <f>SUM(G18:I18)</f>
        <v>7000</v>
      </c>
      <c r="K18" s="52">
        <f>ROUND(D18*E18,2)</f>
        <v>0</v>
      </c>
      <c r="L18" s="50">
        <f>ROUND(D18*G18,2)</f>
        <v>7000</v>
      </c>
      <c r="M18" s="50">
        <f>ROUND(D18*H18,2)</f>
        <v>0</v>
      </c>
      <c r="N18" s="50">
        <f>ROUND(D18*I18,2)</f>
        <v>0</v>
      </c>
      <c r="O18" s="28">
        <f>SUM(L18:N18)</f>
        <v>7000</v>
      </c>
      <c r="P18" s="282">
        <v>0.05</v>
      </c>
      <c r="Q18" s="283">
        <f>ROUND(O18*P18,2)</f>
        <v>350</v>
      </c>
      <c r="R18" s="283">
        <v>0.12</v>
      </c>
      <c r="S18" s="283">
        <f>ROUND(O18*R18,2)</f>
        <v>840</v>
      </c>
      <c r="T18" s="284">
        <f>O18+Q18+S18</f>
        <v>8190</v>
      </c>
      <c r="U18" s="283">
        <v>1.21</v>
      </c>
      <c r="V18" s="285">
        <f>ROUND(T18*U18,2)</f>
        <v>9909.9</v>
      </c>
      <c r="W18" s="281">
        <f>V18+V20</f>
        <v>26898.300000000003</v>
      </c>
    </row>
    <row r="19" spans="1:23" ht="31.5">
      <c r="A19" s="155">
        <v>2</v>
      </c>
      <c r="B19" s="139" t="s">
        <v>42</v>
      </c>
      <c r="C19" s="141" t="s">
        <v>44</v>
      </c>
      <c r="D19" s="238">
        <v>12</v>
      </c>
      <c r="E19" s="48">
        <v>0</v>
      </c>
      <c r="F19" s="48">
        <v>0</v>
      </c>
      <c r="G19" s="49">
        <v>4900</v>
      </c>
      <c r="H19" s="48">
        <v>0</v>
      </c>
      <c r="I19" s="50">
        <v>0</v>
      </c>
      <c r="J19" s="51">
        <f>SUM(G19:I19)</f>
        <v>4900</v>
      </c>
      <c r="K19" s="52">
        <f>ROUND(D19*E19,2)</f>
        <v>0</v>
      </c>
      <c r="L19" s="50">
        <f>ROUND(D19*G19,2)</f>
        <v>58800</v>
      </c>
      <c r="M19" s="50">
        <f>ROUND(D19*H19,2)</f>
        <v>0</v>
      </c>
      <c r="N19" s="50">
        <f>ROUND(D19*I19,2)</f>
        <v>0</v>
      </c>
      <c r="O19" s="28">
        <f>SUM(L19:N19)</f>
        <v>58800</v>
      </c>
      <c r="P19" s="282">
        <v>0.05</v>
      </c>
      <c r="Q19" s="283">
        <f t="shared" ref="Q19:Q21" si="0">ROUND(O19*P19,2)</f>
        <v>2940</v>
      </c>
      <c r="R19" s="283">
        <v>0.12</v>
      </c>
      <c r="S19" s="283">
        <f t="shared" ref="S19:S21" si="1">ROUND(O19*R19,2)</f>
        <v>7056</v>
      </c>
      <c r="T19" s="284">
        <f t="shared" ref="T19:T21" si="2">O19+Q19+S19</f>
        <v>68796</v>
      </c>
      <c r="U19" s="283">
        <v>1.21</v>
      </c>
      <c r="V19" s="285">
        <f t="shared" ref="V19:V21" si="3">ROUND(T19*U19,2)</f>
        <v>83243.16</v>
      </c>
    </row>
    <row r="20" spans="1:23">
      <c r="A20" s="155">
        <v>3</v>
      </c>
      <c r="B20" s="139" t="s">
        <v>461</v>
      </c>
      <c r="C20" s="135" t="s">
        <v>135</v>
      </c>
      <c r="D20" s="238">
        <v>1</v>
      </c>
      <c r="E20" s="48">
        <v>0</v>
      </c>
      <c r="F20" s="48">
        <v>0</v>
      </c>
      <c r="G20" s="49">
        <v>12000</v>
      </c>
      <c r="H20" s="48">
        <v>0</v>
      </c>
      <c r="I20" s="50">
        <v>0</v>
      </c>
      <c r="J20" s="51">
        <f>SUM(G20:I20)</f>
        <v>12000</v>
      </c>
      <c r="K20" s="52">
        <f>ROUND(D20*E20,2)</f>
        <v>0</v>
      </c>
      <c r="L20" s="50">
        <f>ROUND(D20*G20,2)</f>
        <v>12000</v>
      </c>
      <c r="M20" s="50">
        <f>ROUND(D20*H20,2)</f>
        <v>0</v>
      </c>
      <c r="N20" s="50">
        <f>ROUND(D20*I20,2)</f>
        <v>0</v>
      </c>
      <c r="O20" s="28">
        <f>SUM(L20:N20)</f>
        <v>12000</v>
      </c>
      <c r="P20" s="282">
        <v>0.05</v>
      </c>
      <c r="Q20" s="283">
        <f t="shared" si="0"/>
        <v>600</v>
      </c>
      <c r="R20" s="283">
        <v>0.12</v>
      </c>
      <c r="S20" s="283">
        <f t="shared" si="1"/>
        <v>1440</v>
      </c>
      <c r="T20" s="284">
        <f t="shared" si="2"/>
        <v>14040</v>
      </c>
      <c r="U20" s="283">
        <v>1.21</v>
      </c>
      <c r="V20" s="285">
        <f t="shared" si="3"/>
        <v>16988.400000000001</v>
      </c>
    </row>
    <row r="21" spans="1:23">
      <c r="A21" s="382" t="s">
        <v>19</v>
      </c>
      <c r="B21" s="382"/>
      <c r="C21" s="382"/>
      <c r="D21" s="382"/>
      <c r="E21" s="382"/>
      <c r="F21" s="382"/>
      <c r="G21" s="382"/>
      <c r="H21" s="382"/>
      <c r="I21" s="382"/>
      <c r="J21" s="382"/>
      <c r="K21" s="34">
        <f>SUM(K13:K20)</f>
        <v>0</v>
      </c>
      <c r="L21" s="34">
        <f>SUM(L13:L20)</f>
        <v>459919.24</v>
      </c>
      <c r="M21" s="34">
        <f>SUM(M13:M20)</f>
        <v>277021.07999999996</v>
      </c>
      <c r="N21" s="34">
        <f>SUM(N13:N20)</f>
        <v>87624.88</v>
      </c>
      <c r="O21" s="34">
        <f>SUM(O13:O20)</f>
        <v>824565.2</v>
      </c>
      <c r="P21" s="282">
        <v>0.05</v>
      </c>
      <c r="Q21" s="283">
        <f t="shared" si="0"/>
        <v>41228.26</v>
      </c>
      <c r="R21" s="283">
        <v>0.12</v>
      </c>
      <c r="S21" s="283">
        <f t="shared" si="1"/>
        <v>98947.82</v>
      </c>
      <c r="T21" s="284">
        <f t="shared" si="2"/>
        <v>964741.28</v>
      </c>
      <c r="U21" s="283">
        <v>1.21</v>
      </c>
      <c r="V21" s="285">
        <f t="shared" si="3"/>
        <v>1167336.95</v>
      </c>
    </row>
    <row r="22" spans="1:23">
      <c r="A22" s="211"/>
      <c r="B22" s="218"/>
      <c r="C22" s="219"/>
      <c r="D22" s="220"/>
      <c r="E22" s="221"/>
      <c r="F22" s="221"/>
      <c r="G22" s="221"/>
      <c r="H22" s="221"/>
      <c r="I22" s="222"/>
      <c r="J22" s="221"/>
      <c r="K22" s="223"/>
      <c r="L22" s="223"/>
      <c r="M22" s="223"/>
      <c r="N22" s="223"/>
      <c r="O22" s="223"/>
    </row>
    <row r="23" spans="1:23">
      <c r="A23" s="224"/>
      <c r="B23" s="225"/>
      <c r="C23" s="210"/>
      <c r="D23" s="211"/>
      <c r="E23" s="211"/>
      <c r="F23" s="211"/>
      <c r="G23" s="226"/>
      <c r="I23" s="211"/>
      <c r="J23" s="211"/>
      <c r="K23" s="211"/>
      <c r="L23" s="211"/>
      <c r="M23" s="211"/>
      <c r="N23" s="211"/>
      <c r="O23" s="211"/>
      <c r="V23" s="217">
        <f>V21-W18</f>
        <v>1140438.6499999999</v>
      </c>
    </row>
    <row r="24" spans="1:23">
      <c r="A24" s="209"/>
      <c r="B24" s="225"/>
      <c r="C24" s="210"/>
      <c r="D24" s="211"/>
      <c r="E24" s="211"/>
      <c r="F24" s="211"/>
      <c r="G24" s="226"/>
      <c r="H24" s="383"/>
      <c r="I24" s="383"/>
      <c r="J24" s="211"/>
      <c r="K24" s="211"/>
      <c r="L24" s="211"/>
      <c r="M24" s="211"/>
      <c r="N24" s="211"/>
      <c r="O24" s="211"/>
    </row>
    <row r="25" spans="1:23">
      <c r="A25" s="381"/>
      <c r="B25" s="381"/>
      <c r="C25" s="210"/>
      <c r="D25" s="211"/>
      <c r="E25" s="211"/>
      <c r="F25" s="211"/>
      <c r="G25" s="211"/>
      <c r="H25" s="211"/>
      <c r="I25" s="211"/>
      <c r="J25" s="211"/>
      <c r="K25" s="211"/>
      <c r="L25" s="211"/>
      <c r="M25" s="211"/>
      <c r="N25" s="211"/>
      <c r="O25" s="211"/>
    </row>
    <row r="26" spans="1:23">
      <c r="A26" s="209"/>
      <c r="B26" s="225"/>
      <c r="C26" s="210"/>
      <c r="D26" s="211"/>
      <c r="E26" s="211"/>
      <c r="F26" s="211"/>
      <c r="G26" s="226"/>
      <c r="H26" s="211"/>
      <c r="I26" s="211"/>
      <c r="J26" s="211"/>
      <c r="K26" s="211"/>
      <c r="L26" s="211"/>
      <c r="M26" s="211"/>
      <c r="N26" s="211"/>
      <c r="O26" s="211"/>
    </row>
    <row r="27" spans="1:23">
      <c r="A27" s="224"/>
      <c r="B27" s="225"/>
      <c r="C27" s="210"/>
      <c r="D27" s="211"/>
      <c r="E27" s="211"/>
      <c r="F27" s="211"/>
      <c r="G27" s="211"/>
      <c r="H27" s="381"/>
      <c r="I27" s="381"/>
      <c r="J27" s="211"/>
      <c r="K27" s="211"/>
      <c r="L27" s="211"/>
      <c r="M27" s="211"/>
      <c r="N27" s="211"/>
      <c r="O27" s="211"/>
    </row>
    <row r="28" spans="1:23">
      <c r="A28" s="209"/>
      <c r="B28" s="225"/>
      <c r="C28" s="210"/>
      <c r="D28" s="211"/>
      <c r="E28" s="211"/>
      <c r="F28" s="211"/>
      <c r="G28" s="226"/>
      <c r="H28" s="383"/>
      <c r="I28" s="383"/>
      <c r="J28" s="211"/>
      <c r="K28" s="211"/>
      <c r="L28" s="211"/>
      <c r="M28" s="211"/>
      <c r="N28" s="211"/>
      <c r="O28" s="211"/>
    </row>
    <row r="29" spans="1:23">
      <c r="A29" s="381"/>
      <c r="B29" s="381"/>
      <c r="C29" s="210"/>
      <c r="D29" s="211"/>
      <c r="E29" s="211"/>
      <c r="F29" s="211"/>
      <c r="G29" s="211"/>
      <c r="H29" s="211"/>
      <c r="I29" s="211"/>
      <c r="J29" s="211"/>
      <c r="K29" s="211"/>
      <c r="L29" s="211"/>
      <c r="M29" s="211"/>
      <c r="N29" s="211"/>
      <c r="O29" s="211"/>
    </row>
  </sheetData>
  <mergeCells count="20">
    <mergeCell ref="A1:N1"/>
    <mergeCell ref="A2:N2"/>
    <mergeCell ref="A4:B4"/>
    <mergeCell ref="C4:L4"/>
    <mergeCell ref="A5:B5"/>
    <mergeCell ref="C5:L5"/>
    <mergeCell ref="A6:B6"/>
    <mergeCell ref="C6:L6"/>
    <mergeCell ref="A10:A11"/>
    <mergeCell ref="B10:B11"/>
    <mergeCell ref="C10:C11"/>
    <mergeCell ref="D10:D11"/>
    <mergeCell ref="E10:J10"/>
    <mergeCell ref="K10:O10"/>
    <mergeCell ref="A29:B29"/>
    <mergeCell ref="A21:J21"/>
    <mergeCell ref="H24:I24"/>
    <mergeCell ref="A25:B25"/>
    <mergeCell ref="H27:I27"/>
    <mergeCell ref="H28:I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1B84C12DCBAF42AD74AC3777B95E8E" ma:contentTypeVersion="8" ma:contentTypeDescription="Create a new document." ma:contentTypeScope="" ma:versionID="3df5afedfffc2993f94536f5d4bff059">
  <xsd:schema xmlns:xsd="http://www.w3.org/2001/XMLSchema" xmlns:xs="http://www.w3.org/2001/XMLSchema" xmlns:p="http://schemas.microsoft.com/office/2006/metadata/properties" xmlns:ns3="9e7f120d-e36f-4868-8371-1193bc4bd882" targetNamespace="http://schemas.microsoft.com/office/2006/metadata/properties" ma:root="true" ma:fieldsID="55a18aaca0d4577ea4403decd3f400cf" ns3:_="">
    <xsd:import namespace="9e7f120d-e36f-4868-8371-1193bc4bd88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7f120d-e36f-4868-8371-1193bc4bd8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26720-A4FD-4715-B5E5-D8AA96F7232A}">
  <ds:schemaRefs>
    <ds:schemaRef ds:uri="http://schemas.microsoft.com/sharepoint/v3/contenttype/forms"/>
  </ds:schemaRefs>
</ds:datastoreItem>
</file>

<file path=customXml/itemProps2.xml><?xml version="1.0" encoding="utf-8"?>
<ds:datastoreItem xmlns:ds="http://schemas.openxmlformats.org/officeDocument/2006/customXml" ds:itemID="{03329FF2-FD02-4FFE-A9F6-A8A2300D2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7f120d-e36f-4868-8371-1193bc4bd8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20A98F-6A40-4167-B807-A53DE9BF061C}">
  <ds:schemaRefs>
    <ds:schemaRef ds:uri="http://purl.org/dc/dcmitype/"/>
    <ds:schemaRef ds:uri="http://schemas.microsoft.com/office/2006/metadata/properties"/>
    <ds:schemaRef ds:uri="http://schemas.microsoft.com/office/2006/documentManagement/types"/>
    <ds:schemaRef ds:uri="9e7f120d-e36f-4868-8371-1193bc4bd882"/>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12</vt:i4>
      </vt:variant>
    </vt:vector>
  </HeadingPairs>
  <TitlesOfParts>
    <vt:vector size="12" baseType="lpstr">
      <vt:lpstr>KOPĀ</vt:lpstr>
      <vt:lpstr>KOPS</vt:lpstr>
      <vt:lpstr>1.Kārta</vt:lpstr>
      <vt:lpstr>2.Kārta</vt:lpstr>
      <vt:lpstr>3.Kārta</vt:lpstr>
      <vt:lpstr>4.Kārta</vt:lpstr>
      <vt:lpstr>5.Kārta</vt:lpstr>
      <vt:lpstr>6.Kārta</vt:lpstr>
      <vt:lpstr>7.Kārta</vt:lpstr>
      <vt:lpstr>8.Kārta</vt:lpstr>
      <vt:lpstr>Sheet1</vt:lpstr>
      <vt:lpstr>Lapa1</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Andris Foigts</dc:creator>
  <cp:lastModifiedBy>LeldeP</cp:lastModifiedBy>
  <cp:lastPrinted>2019-10-17T20:01:43Z</cp:lastPrinted>
  <dcterms:created xsi:type="dcterms:W3CDTF">2008-10-28T09:53:56Z</dcterms:created>
  <dcterms:modified xsi:type="dcterms:W3CDTF">2020-01-30T08:24:52Z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0x0101004A1B84C12DCBAF42AD74AC3777B95E8E</vt:lpwstr>
  </property>
</Properties>
</file>